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เวิร์กบุ๊กนี้"/>
  <mc:AlternateContent xmlns:mc="http://schemas.openxmlformats.org/markup-compatibility/2006">
    <mc:Choice Requires="x15">
      <x15ac:absPath xmlns:x15ac="http://schemas.microsoft.com/office/spreadsheetml/2010/11/ac" url="D:\00 มหาวิทยาลัยการกีฬาแห่งชาติ\งานปี 2566\คณะและวิทยาเขต\ฟอร์ม\"/>
    </mc:Choice>
  </mc:AlternateContent>
  <xr:revisionPtr revIDLastSave="0" documentId="13_ncr:1_{CC39AEF0-7530-4204-AD15-83A4D63E877F}" xr6:coauthVersionLast="47" xr6:coauthVersionMax="47" xr10:uidLastSave="{00000000-0000-0000-0000-000000000000}"/>
  <bookViews>
    <workbookView xWindow="-120" yWindow="-120" windowWidth="20730" windowHeight="11160" tabRatio="913" activeTab="5" xr2:uid="{00000000-000D-0000-FFFF-FFFF00000000}"/>
  </bookViews>
  <sheets>
    <sheet name="คำแนะนำการใช้โปรแกรม" sheetId="6" r:id="rId1"/>
    <sheet name="ป1 คณะ " sheetId="2" r:id="rId2"/>
    <sheet name="ป. 2 ระดับคณะ" sheetId="3" r:id="rId3"/>
    <sheet name="ป1 วิทยาเขต " sheetId="1" r:id="rId4"/>
    <sheet name="ป. 2 ระดับวิทยาเขต" sheetId="4" r:id="rId5"/>
    <sheet name="CDS(สำหรับภาคผนวก) " sheetId="5" r:id="rId6"/>
  </sheets>
  <definedNames>
    <definedName name="_xlnm.Print_Area" localSheetId="5">'CDS(สำหรับภาคผนวก) '!$A$1:$E$136</definedName>
    <definedName name="_xlnm.Print_Area" localSheetId="1">'ป1 คณะ '!$A$3:$D$33</definedName>
    <definedName name="_xlnm.Print_Area" localSheetId="3">'ป1 วิทยาเขต '!$A$3:$C$38</definedName>
    <definedName name="_xlnm.Print_Titles" localSheetId="5">'CDS(สำหรับภาคผนวก) '!$2:$4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 i="3" l="1"/>
  <c r="B15" i="2" l="1"/>
  <c r="B13" i="2"/>
  <c r="C13" i="2"/>
  <c r="E31" i="3" s="1"/>
  <c r="D13" i="2"/>
  <c r="B32" i="2" l="1"/>
  <c r="C32" i="2"/>
  <c r="E35" i="3" s="1"/>
  <c r="D32" i="2"/>
  <c r="B33" i="1"/>
  <c r="D9" i="2" l="1"/>
  <c r="C9" i="2"/>
  <c r="B9" i="2"/>
  <c r="B27" i="2" l="1"/>
  <c r="B26" i="2"/>
  <c r="D26" i="2"/>
  <c r="C26" i="2"/>
  <c r="D27" i="2" l="1"/>
  <c r="C27" i="2"/>
  <c r="L31" i="2"/>
  <c r="L32" i="2"/>
  <c r="L33" i="2"/>
  <c r="L26" i="2"/>
  <c r="L27" i="2"/>
  <c r="L25" i="2"/>
  <c r="E35" i="5" l="1"/>
  <c r="A1" i="4"/>
  <c r="E1" i="3"/>
  <c r="C21" i="3" s="1"/>
  <c r="C42" i="3" s="1"/>
  <c r="A1" i="2"/>
  <c r="A1" i="1"/>
  <c r="L29" i="2"/>
  <c r="L30" i="2"/>
  <c r="L28" i="2"/>
  <c r="E38" i="5" l="1"/>
  <c r="E7" i="5" l="1"/>
  <c r="E106" i="5" l="1"/>
  <c r="E107" i="5"/>
  <c r="B29" i="2" s="1"/>
  <c r="C89" i="5"/>
  <c r="E115" i="5"/>
  <c r="D29" i="2" s="1"/>
  <c r="E110" i="5"/>
  <c r="C29" i="2" s="1"/>
  <c r="E34" i="3" s="1"/>
  <c r="D15" i="2"/>
  <c r="C15" i="2"/>
  <c r="E32" i="3" s="1"/>
  <c r="B25" i="1"/>
  <c r="E136" i="5"/>
  <c r="E135" i="5"/>
  <c r="E132" i="5"/>
  <c r="E131" i="5"/>
  <c r="E129" i="5"/>
  <c r="E128" i="5"/>
  <c r="E127" i="5"/>
  <c r="E125" i="5"/>
  <c r="E124" i="5"/>
  <c r="E123" i="5"/>
  <c r="D101" i="5"/>
  <c r="E105" i="5"/>
  <c r="E104" i="5"/>
  <c r="E103" i="5"/>
  <c r="E102" i="5"/>
  <c r="C101" i="5"/>
  <c r="B101" i="5"/>
  <c r="E100" i="5"/>
  <c r="E99" i="5"/>
  <c r="E98" i="5"/>
  <c r="D97" i="5"/>
  <c r="C97" i="5"/>
  <c r="B97" i="5"/>
  <c r="B93" i="5"/>
  <c r="E96" i="5"/>
  <c r="E95" i="5"/>
  <c r="E94" i="5"/>
  <c r="D93" i="5"/>
  <c r="C93" i="5"/>
  <c r="E91" i="5"/>
  <c r="E92" i="5"/>
  <c r="E90" i="5"/>
  <c r="D89" i="5"/>
  <c r="B89" i="5"/>
  <c r="E86" i="5"/>
  <c r="E87" i="5"/>
  <c r="E84" i="5"/>
  <c r="E76" i="5"/>
  <c r="B63" i="5"/>
  <c r="E70" i="5"/>
  <c r="E71" i="5"/>
  <c r="E72" i="5"/>
  <c r="E73" i="5"/>
  <c r="E74" i="5"/>
  <c r="E75" i="5"/>
  <c r="E69" i="5"/>
  <c r="E68" i="5"/>
  <c r="E67" i="5"/>
  <c r="E66" i="5"/>
  <c r="E65" i="5"/>
  <c r="E64" i="5"/>
  <c r="C63" i="5"/>
  <c r="D63" i="5"/>
  <c r="E77" i="5"/>
  <c r="E78" i="5"/>
  <c r="E79" i="5"/>
  <c r="E80" i="5"/>
  <c r="E58" i="5"/>
  <c r="E54" i="5"/>
  <c r="E51" i="5"/>
  <c r="E49" i="5"/>
  <c r="E45" i="5"/>
  <c r="E41" i="5"/>
  <c r="E34" i="5"/>
  <c r="E30" i="5"/>
  <c r="E26" i="5"/>
  <c r="E23" i="5"/>
  <c r="B7" i="2"/>
  <c r="E15" i="5"/>
  <c r="D7" i="2" s="1"/>
  <c r="E10" i="5"/>
  <c r="C7" i="2" s="1"/>
  <c r="E6" i="5"/>
  <c r="E21" i="5"/>
  <c r="E37" i="3" l="1"/>
  <c r="E30" i="3"/>
  <c r="L23" i="2"/>
  <c r="E63" i="5"/>
  <c r="L22" i="2"/>
  <c r="L21" i="2"/>
  <c r="E101" i="5"/>
  <c r="E93" i="5"/>
  <c r="L9" i="2"/>
  <c r="L15" i="2"/>
  <c r="L14" i="2"/>
  <c r="L13" i="2"/>
  <c r="L11" i="2"/>
  <c r="L10" i="2"/>
  <c r="E97" i="5"/>
  <c r="E89" i="5"/>
  <c r="B36" i="1"/>
  <c r="F14" i="4" s="1"/>
  <c r="G14" i="4" s="1"/>
  <c r="B32" i="1"/>
  <c r="B31" i="1"/>
  <c r="B24" i="1"/>
  <c r="B16" i="1"/>
  <c r="B14" i="1"/>
  <c r="B13" i="1"/>
  <c r="B11" i="1"/>
  <c r="B22" i="2" l="1"/>
  <c r="B23" i="2"/>
  <c r="C22" i="2"/>
  <c r="C23" i="2"/>
  <c r="D22" i="2"/>
  <c r="D23" i="2"/>
  <c r="E88" i="5"/>
  <c r="B7" i="1"/>
  <c r="E13" i="4"/>
  <c r="F13" i="4" s="1"/>
  <c r="B5" i="1"/>
  <c r="C55" i="3" l="1"/>
  <c r="C34" i="3"/>
  <c r="B33" i="2"/>
  <c r="E14" i="4"/>
  <c r="D14" i="4"/>
  <c r="D12" i="4"/>
  <c r="C38" i="1"/>
  <c r="J36" i="1"/>
  <c r="J33" i="1"/>
  <c r="J32" i="1"/>
  <c r="J31" i="1"/>
  <c r="J25" i="1"/>
  <c r="J24" i="1"/>
  <c r="B20" i="1"/>
  <c r="J16" i="1"/>
  <c r="J14" i="1"/>
  <c r="J13" i="1"/>
  <c r="J11" i="1"/>
  <c r="B10" i="1"/>
  <c r="E9" i="4" s="1"/>
  <c r="B8" i="1"/>
  <c r="B6" i="1"/>
  <c r="F16" i="3"/>
  <c r="G16" i="3" s="1"/>
  <c r="E17" i="3"/>
  <c r="E19" i="3" s="1"/>
  <c r="E14" i="3"/>
  <c r="D14" i="3"/>
  <c r="D17" i="3" s="1"/>
  <c r="D19" i="3" s="1"/>
  <c r="C14" i="3"/>
  <c r="C17" i="3" s="1"/>
  <c r="C19" i="3" s="1"/>
  <c r="E15" i="3"/>
  <c r="F15" i="3" s="1"/>
  <c r="G15" i="3" s="1"/>
  <c r="F14" i="3"/>
  <c r="G14" i="3" s="1"/>
  <c r="E13" i="3"/>
  <c r="F13" i="3" s="1"/>
  <c r="G13" i="3" s="1"/>
  <c r="E12" i="3"/>
  <c r="F12" i="3" s="1"/>
  <c r="G12" i="3" s="1"/>
  <c r="E11" i="3"/>
  <c r="F11" i="3" s="1"/>
  <c r="G11" i="3" s="1"/>
  <c r="E10" i="3"/>
  <c r="F10" i="3" s="1"/>
  <c r="G10" i="3" s="1"/>
  <c r="E39" i="3"/>
  <c r="F35" i="3"/>
  <c r="G35" i="3" s="1"/>
  <c r="D37" i="3"/>
  <c r="D39" i="3" s="1"/>
  <c r="E33" i="3"/>
  <c r="F33" i="3" s="1"/>
  <c r="G33" i="3" s="1"/>
  <c r="F32" i="3"/>
  <c r="G32" i="3" s="1"/>
  <c r="F30" i="3"/>
  <c r="G30" i="3" s="1"/>
  <c r="D33" i="2"/>
  <c r="E55" i="3"/>
  <c r="E58" i="3"/>
  <c r="E60" i="3" s="1"/>
  <c r="E8" i="4" l="1"/>
  <c r="F8" i="4" s="1"/>
  <c r="G8" i="4" s="1"/>
  <c r="F31" i="3"/>
  <c r="G31" i="3" s="1"/>
  <c r="G13" i="4"/>
  <c r="D16" i="4"/>
  <c r="D18" i="4" s="1"/>
  <c r="E11" i="4"/>
  <c r="F11" i="4" s="1"/>
  <c r="G11" i="4" s="1"/>
  <c r="E10" i="4"/>
  <c r="F10" i="4" s="1"/>
  <c r="G10" i="4" s="1"/>
  <c r="F9" i="4"/>
  <c r="G9" i="4" s="1"/>
  <c r="F57" i="3"/>
  <c r="F55" i="3"/>
  <c r="E56" i="3"/>
  <c r="D55" i="3"/>
  <c r="C58" i="3"/>
  <c r="C60" i="3" s="1"/>
  <c r="E54" i="3"/>
  <c r="E53" i="3"/>
  <c r="E52" i="3"/>
  <c r="E51" i="3"/>
  <c r="G55" i="3" l="1"/>
  <c r="D58" i="3"/>
  <c r="D60" i="3" s="1"/>
  <c r="F56" i="3"/>
  <c r="G56" i="3" s="1"/>
  <c r="F54" i="3"/>
  <c r="G54" i="3" s="1"/>
  <c r="F53" i="3"/>
  <c r="G53" i="3" s="1"/>
  <c r="F52" i="3"/>
  <c r="G52" i="3" s="1"/>
  <c r="F51" i="3"/>
  <c r="G51" i="3" s="1"/>
  <c r="G57" i="3"/>
  <c r="C37" i="3"/>
  <c r="C39" i="3" s="1"/>
  <c r="F36" i="3"/>
  <c r="G36" i="3" s="1"/>
  <c r="F34" i="3"/>
  <c r="G34" i="3" s="1"/>
  <c r="B21" i="1"/>
  <c r="C12" i="4" s="1"/>
  <c r="C16" i="4" s="1"/>
  <c r="C18" i="4" s="1"/>
  <c r="C33" i="2"/>
  <c r="B28" i="1" s="1"/>
  <c r="E16" i="4" l="1"/>
  <c r="E18" i="4" s="1"/>
  <c r="E12" i="4"/>
  <c r="B37" i="1"/>
  <c r="C37" i="1" s="1"/>
  <c r="F12" i="4"/>
  <c r="G12" i="4" s="1"/>
  <c r="F15" i="4"/>
  <c r="G1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suksaner</author>
  </authors>
  <commentList>
    <comment ref="B3" authorId="0" shapeId="0" xr:uid="{00000000-0006-0000-0100-000001000000}">
      <text>
        <r>
          <rPr>
            <b/>
            <sz val="9"/>
            <color indexed="81"/>
            <rFont val="Tahoma"/>
            <family val="2"/>
          </rPr>
          <t>suksaner:</t>
        </r>
        <r>
          <rPr>
            <sz val="9"/>
            <color indexed="81"/>
            <rFont val="Tahoma"/>
            <family val="2"/>
          </rPr>
          <t xml:space="preserve">
</t>
        </r>
        <r>
          <rPr>
            <sz val="11"/>
            <color indexed="10"/>
            <rFont val="Tahoma"/>
            <family val="2"/>
          </rPr>
          <t>ทั้งหมดคะแนนต้องไม่เกิน 5 คะ</t>
        </r>
      </text>
    </comment>
    <comment ref="A27" authorId="0" shapeId="0" xr:uid="{00000000-0006-0000-0100-000002000000}">
      <text>
        <r>
          <rPr>
            <b/>
            <sz val="9"/>
            <color indexed="81"/>
            <rFont val="Tahoma"/>
            <family val="2"/>
          </rPr>
          <t xml:space="preserve">suksaner: 
</t>
        </r>
        <r>
          <rPr>
            <b/>
            <sz val="10"/>
            <color indexed="33"/>
            <rFont val="Tahoma"/>
            <family val="2"/>
          </rPr>
          <t>เฉพาะ 5.9 โปรดกรอก CDS ด้านล่างในเซล สีชมพู</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suksaner</author>
  </authors>
  <commentList>
    <comment ref="F14" authorId="0" shapeId="0" xr:uid="{00000000-0006-0000-0300-000001000000}">
      <text>
        <r>
          <rPr>
            <b/>
            <sz val="9"/>
            <color indexed="81"/>
            <rFont val="Tahoma"/>
            <family val="2"/>
          </rPr>
          <t>suksaner:</t>
        </r>
        <r>
          <rPr>
            <sz val="9"/>
            <color indexed="81"/>
            <rFont val="Tahoma"/>
            <family val="2"/>
          </rPr>
          <t xml:space="preserve">
ผลถ่วงน้ำหนักชุมชนที่ได้รับการพัฒนาให้เข้มแข็งและยั่งยืน</t>
        </r>
      </text>
    </comment>
    <comment ref="H14" authorId="0" shapeId="0" xr:uid="{00000000-0006-0000-0300-000002000000}">
      <text>
        <r>
          <rPr>
            <b/>
            <sz val="9"/>
            <color indexed="81"/>
            <rFont val="Tahoma"/>
            <family val="2"/>
          </rPr>
          <t>suksaner:</t>
        </r>
        <r>
          <rPr>
            <sz val="9"/>
            <color indexed="81"/>
            <rFont val="Tahoma"/>
            <family val="2"/>
          </rPr>
          <t xml:space="preserve">
จำนวนชุมชนที่ได้รับบริการวิชาการ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suksaner</author>
  </authors>
  <commentList>
    <comment ref="E6" authorId="0" shapeId="0" xr:uid="{00000000-0006-0000-0500-000001000000}">
      <text>
        <r>
          <rPr>
            <b/>
            <sz val="9"/>
            <color indexed="81"/>
            <rFont val="Tahoma"/>
            <family val="2"/>
          </rPr>
          <t>suksaner:</t>
        </r>
        <r>
          <rPr>
            <sz val="9"/>
            <color indexed="81"/>
            <rFont val="Tahoma"/>
            <family val="2"/>
          </rPr>
          <t xml:space="preserve">
วิทยาเขต</t>
        </r>
      </text>
    </comment>
    <comment ref="E7" authorId="0" shapeId="0" xr:uid="{00000000-0006-0000-0500-000002000000}">
      <text>
        <r>
          <rPr>
            <b/>
            <sz val="9"/>
            <color indexed="81"/>
            <rFont val="Tahoma"/>
            <family val="2"/>
          </rPr>
          <t>suksaner:</t>
        </r>
        <r>
          <rPr>
            <sz val="9"/>
            <color indexed="81"/>
            <rFont val="Tahoma"/>
            <family val="2"/>
          </rPr>
          <t xml:space="preserve">
วืทย์กีฬา</t>
        </r>
      </text>
    </comment>
    <comment ref="E10" authorId="0" shapeId="0" xr:uid="{00000000-0006-0000-0500-000003000000}">
      <text>
        <r>
          <rPr>
            <b/>
            <sz val="9"/>
            <color indexed="81"/>
            <rFont val="Tahoma"/>
            <family val="2"/>
          </rPr>
          <t>suksaner:</t>
        </r>
        <r>
          <rPr>
            <sz val="9"/>
            <color indexed="81"/>
            <rFont val="Tahoma"/>
            <family val="2"/>
          </rPr>
          <t xml:space="preserve">
ศิลปศาสตร์</t>
        </r>
      </text>
    </comment>
    <comment ref="E15" authorId="0" shapeId="0" xr:uid="{00000000-0006-0000-0500-000004000000}">
      <text>
        <r>
          <rPr>
            <b/>
            <sz val="9"/>
            <color indexed="81"/>
            <rFont val="Tahoma"/>
            <family val="2"/>
          </rPr>
          <t>suksaner:</t>
        </r>
        <r>
          <rPr>
            <sz val="9"/>
            <color indexed="81"/>
            <rFont val="Tahoma"/>
            <family val="2"/>
          </rPr>
          <t xml:space="preserve">
ศึกษาศาสตร์</t>
        </r>
      </text>
    </comment>
    <comment ref="E23" authorId="0" shapeId="0" xr:uid="{00000000-0006-0000-0500-000005000000}">
      <text>
        <r>
          <rPr>
            <b/>
            <sz val="9"/>
            <color indexed="81"/>
            <rFont val="Tahoma"/>
            <family val="2"/>
          </rPr>
          <t>suksaner:</t>
        </r>
        <r>
          <rPr>
            <sz val="9"/>
            <color indexed="81"/>
            <rFont val="Tahoma"/>
            <family val="2"/>
          </rPr>
          <t xml:space="preserve">
วิทย์กีฬาฯ</t>
        </r>
      </text>
    </comment>
    <comment ref="E26" authorId="0" shapeId="0" xr:uid="{00000000-0006-0000-0500-000006000000}">
      <text>
        <r>
          <rPr>
            <b/>
            <sz val="9"/>
            <color indexed="81"/>
            <rFont val="Tahoma"/>
            <family val="2"/>
          </rPr>
          <t>suksaner:</t>
        </r>
        <r>
          <rPr>
            <sz val="9"/>
            <color indexed="81"/>
            <rFont val="Tahoma"/>
            <family val="2"/>
          </rPr>
          <t xml:space="preserve">
ศิลปศาสตร์</t>
        </r>
      </text>
    </comment>
    <comment ref="E30" authorId="0" shapeId="0" xr:uid="{00000000-0006-0000-0500-000007000000}">
      <text>
        <r>
          <rPr>
            <b/>
            <sz val="9"/>
            <color indexed="81"/>
            <rFont val="Tahoma"/>
            <family val="2"/>
          </rPr>
          <t>suksaner:</t>
        </r>
        <r>
          <rPr>
            <sz val="9"/>
            <color indexed="81"/>
            <rFont val="Tahoma"/>
            <family val="2"/>
          </rPr>
          <t xml:space="preserve">
ศึกษาศาสตร์</t>
        </r>
      </text>
    </comment>
    <comment ref="E106" authorId="0" shapeId="0" xr:uid="{00000000-0006-0000-0500-000008000000}">
      <text>
        <r>
          <rPr>
            <b/>
            <sz val="9"/>
            <color indexed="81"/>
            <rFont val="Tahoma"/>
            <family val="2"/>
          </rPr>
          <t>suksaner:</t>
        </r>
        <r>
          <rPr>
            <sz val="9"/>
            <color indexed="81"/>
            <rFont val="Tahoma"/>
            <family val="2"/>
          </rPr>
          <t xml:space="preserve">
วิทยาเขต</t>
        </r>
      </text>
    </comment>
    <comment ref="E107" authorId="0" shapeId="0" xr:uid="{00000000-0006-0000-0500-000009000000}">
      <text>
        <r>
          <rPr>
            <b/>
            <sz val="9"/>
            <color indexed="81"/>
            <rFont val="Tahoma"/>
            <family val="2"/>
          </rPr>
          <t>suksaner:</t>
        </r>
        <r>
          <rPr>
            <sz val="9"/>
            <color indexed="81"/>
            <rFont val="Tahoma"/>
            <family val="2"/>
          </rPr>
          <t xml:space="preserve">
วืทย์กีฬา</t>
        </r>
      </text>
    </comment>
    <comment ref="E110" authorId="0" shapeId="0" xr:uid="{00000000-0006-0000-0500-00000A000000}">
      <text>
        <r>
          <rPr>
            <b/>
            <sz val="9"/>
            <color indexed="81"/>
            <rFont val="Tahoma"/>
            <family val="2"/>
          </rPr>
          <t>suksaner:</t>
        </r>
        <r>
          <rPr>
            <sz val="9"/>
            <color indexed="81"/>
            <rFont val="Tahoma"/>
            <family val="2"/>
          </rPr>
          <t xml:space="preserve">
ศิลปศาสตร์</t>
        </r>
      </text>
    </comment>
    <comment ref="E115" authorId="0" shapeId="0" xr:uid="{00000000-0006-0000-0500-00000B000000}">
      <text>
        <r>
          <rPr>
            <b/>
            <sz val="9"/>
            <color indexed="81"/>
            <rFont val="Tahoma"/>
            <family val="2"/>
          </rPr>
          <t>suksaner:</t>
        </r>
        <r>
          <rPr>
            <sz val="9"/>
            <color indexed="81"/>
            <rFont val="Tahoma"/>
            <family val="2"/>
          </rPr>
          <t xml:space="preserve">
ศึกษาศาสตร์</t>
        </r>
      </text>
    </comment>
    <comment ref="A126" authorId="0" shapeId="0" xr:uid="{00000000-0006-0000-0500-00000C000000}">
      <text>
        <r>
          <rPr>
            <b/>
            <sz val="9"/>
            <color indexed="81"/>
            <rFont val="Tahoma"/>
            <family val="2"/>
          </rPr>
          <t>suksaner:</t>
        </r>
        <r>
          <rPr>
            <sz val="9"/>
            <color indexed="81"/>
            <rFont val="Tahoma"/>
            <family val="2"/>
          </rPr>
          <t xml:space="preserve">
</t>
        </r>
        <r>
          <rPr>
            <sz val="9"/>
            <color indexed="33"/>
            <rFont val="Tahoma"/>
            <family val="2"/>
          </rPr>
          <t>ตบช.ระดับวิทยาเขต</t>
        </r>
        <r>
          <rPr>
            <sz val="9"/>
            <color indexed="81"/>
            <rFont val="Tahoma"/>
            <family val="2"/>
          </rPr>
          <t xml:space="preserve">
</t>
        </r>
      </text>
    </comment>
    <comment ref="A130" authorId="0" shapeId="0" xr:uid="{00000000-0006-0000-0500-00000D000000}">
      <text>
        <r>
          <rPr>
            <b/>
            <sz val="9"/>
            <color indexed="81"/>
            <rFont val="Tahoma"/>
            <family val="2"/>
          </rPr>
          <t>suksaner:</t>
        </r>
        <r>
          <rPr>
            <sz val="9"/>
            <color indexed="81"/>
            <rFont val="Tahoma"/>
            <family val="2"/>
          </rPr>
          <t xml:space="preserve">
</t>
        </r>
        <r>
          <rPr>
            <sz val="9"/>
            <color indexed="33"/>
            <rFont val="Tahoma"/>
            <family val="2"/>
          </rPr>
          <t>ตบช.ระดับวิทยาเขต</t>
        </r>
        <r>
          <rPr>
            <sz val="9"/>
            <color indexed="81"/>
            <rFont val="Tahoma"/>
            <family val="2"/>
          </rPr>
          <t xml:space="preserve">
</t>
        </r>
      </text>
    </comment>
    <comment ref="A133" authorId="0" shapeId="0" xr:uid="{00000000-0006-0000-0500-00000E000000}">
      <text>
        <r>
          <rPr>
            <b/>
            <sz val="9"/>
            <color indexed="81"/>
            <rFont val="Tahoma"/>
            <family val="2"/>
          </rPr>
          <t xml:space="preserve">suksaner:
</t>
        </r>
        <r>
          <rPr>
            <sz val="11"/>
            <color indexed="14"/>
            <rFont val="Calibri"/>
            <family val="2"/>
            <scheme val="minor"/>
          </rPr>
          <t>ตบช.ระดับวิทยาเขต</t>
        </r>
        <r>
          <rPr>
            <sz val="9"/>
            <color indexed="81"/>
            <rFont val="Tahoma"/>
            <family val="2"/>
          </rPr>
          <t xml:space="preserve">
</t>
        </r>
      </text>
    </comment>
  </commentList>
</comments>
</file>

<file path=xl/sharedStrings.xml><?xml version="1.0" encoding="utf-8"?>
<sst xmlns="http://schemas.openxmlformats.org/spreadsheetml/2006/main" count="471" uniqueCount="237">
  <si>
    <t>1.2 บัณฑิตปริญญาตรีที่ได้งานทำรวมกับผลงานของนักศึกษาและผู้สำเร็จการศึกษาในระดับบัณฑิตศึกษาที่ได้รับการตีพิมพ์หรือเผยแพร่</t>
  </si>
  <si>
    <t>1.4 นักศึกษาชั้นปีสุดท้ายที่สอบผ่านภาษาอังกฤษตามเกณฑ์ที่กำหนด</t>
  </si>
  <si>
    <t>2.1 ผลงานทางวิชาการของอาจารย์ประจำวิทยาเขต</t>
  </si>
  <si>
    <t>2.2 ผลงานวิจัยที่นำไปใช้ประโยชน์ของอาจารย์ประจำวิทยาเขต</t>
  </si>
  <si>
    <t>3.2 ชุมชนที่ได้รับการพัฒนาให้มีความเข็มแข็งและยั่งยืน</t>
  </si>
  <si>
    <t>4.1 การละเล่นพื้นบ้านและกีฬาไทยที่ได้รับการฟื้นฟู อนุรักษ์ เผยแพร่ หรือวิจัย</t>
  </si>
  <si>
    <t>5.2 การบริหารงานวิจัยและนวัตกรรม</t>
  </si>
  <si>
    <t>5.3 เงินสนับสนุนงานวิจัยและนวัตกรรม (เงินรายได้)</t>
  </si>
  <si>
    <t>5.5 การบริหารงาน ศิลปวัฒนธรรมและความเป็นไทย ด้านการละเล่นพื้นบ้านและกีฬาไทย</t>
  </si>
  <si>
    <t xml:space="preserve">5.6 การพัฒนาบุคลากร </t>
  </si>
  <si>
    <r>
      <t>5.10 ผลการประเมินหลักสูตรของวิทยาเขต</t>
    </r>
    <r>
      <rPr>
        <b/>
        <sz val="15"/>
        <color theme="1"/>
        <rFont val="TH SarabunPSK"/>
        <family val="2"/>
      </rPr>
      <t xml:space="preserve"> </t>
    </r>
  </si>
  <si>
    <t>5.12 การบริหารการประกันคุณภาพการศึกษาภายใน</t>
  </si>
  <si>
    <t>6.2 นักศึกษาที่ได้รับรางวัลจากการเข้าร่วมการแข่งขันกีฬาระดับนานาชาติ</t>
  </si>
  <si>
    <t>6.3 นักศึกษาในศูนย์กีฬาที่ได้รับรางวัลจากการเข้าร่วมการแข่งขันกีฬาระดับนานาชาติ</t>
  </si>
  <si>
    <t>7.1 การพัฒนานักกีฬาของมหาวิทยาลัยการกีฬาแห่งชาติ</t>
  </si>
  <si>
    <r>
      <t xml:space="preserve">7.2 </t>
    </r>
    <r>
      <rPr>
        <sz val="16"/>
        <color theme="1"/>
        <rFont val="TH SarabunPSK"/>
        <family val="2"/>
      </rPr>
      <t>ผลงานวิจัยและนวัตกรรมด้านศาสตร์ทางการกีฬา</t>
    </r>
  </si>
  <si>
    <t>ผลการประเมิน</t>
  </si>
  <si>
    <t>คณะ</t>
  </si>
  <si>
    <t>วิทย์กีฬาฯ</t>
  </si>
  <si>
    <t>ศิลปศาสตร์</t>
  </si>
  <si>
    <t xml:space="preserve">2.1 ผลงานทางวิชาการของอาจารย์ประจำคณะ </t>
  </si>
  <si>
    <t>2.2 ผลงานวิจัยที่นำไปใช้ประโยชน์ของอาจารย์ประจำคณะ</t>
  </si>
  <si>
    <t>3.1 ผู้รับบริการทางวิชาการ</t>
  </si>
  <si>
    <t xml:space="preserve">5.1 การพัฒนาผู้เรียนแบบบูรณาการ      </t>
  </si>
  <si>
    <t xml:space="preserve">5.2 กิจกรรมนักศึกษาระดับปริญญาตรี  </t>
  </si>
  <si>
    <t>5.3 การบริหารงานวิจัยและนวัตกรรม</t>
  </si>
  <si>
    <t>5.4 เงินสนับสนุนงานวิจัยและนวัตกรรม (เงินรายได้)</t>
  </si>
  <si>
    <t>5.7 การบริหารงาน ศิลปวัฒนธรรมและความเป็นไทย ด้านการละเล่นพื้นบ้านและกีฬาไทย</t>
  </si>
  <si>
    <r>
      <t>5.8 อาจารย์ประจำคณะที่มีคุณวุฒิปริญญาเอก</t>
    </r>
    <r>
      <rPr>
        <b/>
        <sz val="15"/>
        <color theme="1"/>
        <rFont val="TH SarabunPSK"/>
        <family val="2"/>
      </rPr>
      <t xml:space="preserve"> </t>
    </r>
  </si>
  <si>
    <t xml:space="preserve">5.9 อาจารย์ประจำคณะที่ดำรงตำแหน่งทางวิชาการ </t>
  </si>
  <si>
    <r>
      <t xml:space="preserve">5.10 </t>
    </r>
    <r>
      <rPr>
        <sz val="16"/>
        <color theme="1"/>
        <rFont val="TH SarabunPSK"/>
        <family val="2"/>
      </rPr>
      <t>การบริหารของคณะเพื่อสนับสนุนการดำเนินงานตามพันธกิจ</t>
    </r>
  </si>
  <si>
    <r>
      <t>5.11 ผลการประเมินหลักสูตรของคณะ</t>
    </r>
    <r>
      <rPr>
        <b/>
        <sz val="15"/>
        <color theme="1"/>
        <rFont val="TH SarabunPSK"/>
        <family val="2"/>
      </rPr>
      <t xml:space="preserve"> </t>
    </r>
  </si>
  <si>
    <t xml:space="preserve">6.1 การเข้าร่วมการแข่งขันกีฬาระดับชาติหรือนานาชาติของนักศึกษา  </t>
  </si>
  <si>
    <t>ผลการประเมินระดับคณะ</t>
  </si>
  <si>
    <t>5.6 การบริหารการบริการวิชาการแก่สังคม</t>
  </si>
  <si>
    <t>มาตรฐาน/ตัวบ่งชี้ ระดับวิทยาเขต</t>
  </si>
  <si>
    <t xml:space="preserve">5.1 การพัฒนาทักษะภาษาอังกฤษ     </t>
  </si>
  <si>
    <r>
      <t>5.7 อาจารย์ประจำคณะที่มีคุณวุฒิปริญญาเอก</t>
    </r>
    <r>
      <rPr>
        <b/>
        <sz val="15"/>
        <color theme="1"/>
        <rFont val="TH SarabunPSK"/>
        <family val="2"/>
      </rPr>
      <t xml:space="preserve"> </t>
    </r>
  </si>
  <si>
    <t xml:space="preserve">5.8 อาจารย์ประจำคณะที่ดำรงตำแหน่งทางวิชาการ </t>
  </si>
  <si>
    <r>
      <t xml:space="preserve">5.9 </t>
    </r>
    <r>
      <rPr>
        <sz val="16"/>
        <color theme="1"/>
        <rFont val="TH SarabunPSK"/>
        <family val="2"/>
      </rPr>
      <t>การบริหารของคณะเพื่อสนับสนุนการดำเนินงานตามพันธกิจ</t>
    </r>
  </si>
  <si>
    <t>5.11 ผลการประเมินคณะของวิทยาเขต</t>
  </si>
  <si>
    <t>มาตรฐาน</t>
  </si>
  <si>
    <t>คะแนนการประเมินเฉลี่ย</t>
  </si>
  <si>
    <t>ตัวบ่งชี้</t>
  </si>
  <si>
    <t>I</t>
  </si>
  <si>
    <t>P</t>
  </si>
  <si>
    <t>O</t>
  </si>
  <si>
    <t>คะแนนเฉลี่ย</t>
  </si>
  <si>
    <t>0.00 – 1.50 ระดับคุณภาพต้องปรับปรุงเร่งด่วน</t>
  </si>
  <si>
    <t>1.51 – 2.50 ระดับคุณภาพต้องปรับปรุง</t>
  </si>
  <si>
    <t>2.51 – 3.50 ระดับคุณภาพพอใช้</t>
  </si>
  <si>
    <t>3.51 – 4.50 ระดับคุณภาพดี</t>
  </si>
  <si>
    <t>4.51 – 5.00 ระดับคุณภาพดีมาก</t>
  </si>
  <si>
    <t>-</t>
  </si>
  <si>
    <t>รวมตัวบ่งชี้</t>
  </si>
  <si>
    <r>
      <t>ผลการประเมิน</t>
    </r>
    <r>
      <rPr>
        <sz val="16"/>
        <color rgb="FF000000"/>
        <rFont val="TH SarabunPSK"/>
        <family val="2"/>
      </rPr>
      <t>*</t>
    </r>
  </si>
  <si>
    <t>มาตรฐาน/ตัวบ่งชี้ระดับคณะ</t>
  </si>
  <si>
    <t xml:space="preserve">5.4 เงินสนับสนุนงานวิจัยและนวัตกรรม (เงินงบประมาณแผ่นดิน)      </t>
  </si>
  <si>
    <t>คณะวิทยาศาสตร์การกีฬาและสุขภาพ</t>
  </si>
  <si>
    <t>คะแนนการประเมินคณะเฉลี่ย</t>
  </si>
  <si>
    <t>ศึกษาศาสตร์</t>
  </si>
  <si>
    <t>ผลการประเมินระดับวิทยาเขต</t>
  </si>
  <si>
    <t>คณะศิลปศาสตร์</t>
  </si>
  <si>
    <t>คณะศึกษาศาสตร์</t>
  </si>
  <si>
    <t>วิทยาเขต</t>
  </si>
  <si>
    <t>1.1 คุณภาพบัณฑิตตามกรอบมาตรฐานคุณวุฒิระดับอุดมศึกษาแห่งชาติ</t>
  </si>
  <si>
    <t>1.3 นักศึกษาชั้นปีสุดท้ายที่เป็นผู้สร้างหรือผู้ร่วมสร้างสรรค์นวัตกรรม</t>
  </si>
  <si>
    <t>ดูตาราง ป 2 ได้ทีละคณะ</t>
  </si>
  <si>
    <t>โดยเลื่อน Scoll Bar ลง</t>
  </si>
  <si>
    <t>โปรดกรอก CDS</t>
  </si>
  <si>
    <t>ตัวตั้ง</t>
  </si>
  <si>
    <t>ตัวหาร</t>
  </si>
  <si>
    <t>ร้อยละ</t>
  </si>
  <si>
    <t>โปรดกรอกผลการดำเนินงาน</t>
  </si>
  <si>
    <t>ระบุเหตุผล/ข้อที่ได้</t>
  </si>
  <si>
    <t>มาตรฐานที่ 1 ผลลัพธ์ผู้เรียน</t>
  </si>
  <si>
    <t>มาตรฐานที่ 2  ผลลัพธ์การวิจัยและนวัตกรรม</t>
  </si>
  <si>
    <t>มาตรฐานที่ 3 ผลลัพธ์การบริการวิชาการ</t>
  </si>
  <si>
    <t>มาตรฐานที่ 4 ผลลัพธ์ศิลปวัฒนธรรมและความเป็นไทยด้านการละเล่นพื้นบ้านและกีฬาไทย</t>
  </si>
  <si>
    <t>มาตรฐานที่ 5 การบริหารจัดการ</t>
  </si>
  <si>
    <t xml:space="preserve">มาตรฐานที่ 6 อัตลักษณ์ของนักศึกษาด้านกีฬา  </t>
  </si>
  <si>
    <t>มาตรฐานที่ 7 เอกลักษณ์ด้านกีฬา</t>
  </si>
  <si>
    <t>ผลประเมิน (คะแนน)</t>
  </si>
  <si>
    <r>
      <t>ผลการประเมิน</t>
    </r>
    <r>
      <rPr>
        <sz val="22"/>
        <color rgb="FF000000"/>
        <rFont val="TH SarabunPSK"/>
        <family val="2"/>
      </rPr>
      <t>*</t>
    </r>
  </si>
  <si>
    <t>มาตรฐานที่ 2 ผลลัพธ์การวิจัยและนวัตกรรม</t>
  </si>
  <si>
    <t>ข้อมูลพื้นฐาน (Common Data Set)</t>
  </si>
  <si>
    <t>วิทย์ฯกีฬา</t>
  </si>
  <si>
    <t xml:space="preserve">   1.1.15 จำนวนหลักสูตรทั้งหมดที่เปิดสอน</t>
  </si>
  <si>
    <t xml:space="preserve">   1.3.12 จำนวนนักศึกษาระดับปริญญาตรีชั้นปีสุดท้ายทั้งหมดของคณะ ไม่รวมนักศึกษาตกค้าง </t>
  </si>
  <si>
    <t>2.1.1 บทความวิจัยหรือบทความวิชาการฉบับสมบูรณ์ที่ตีพิมพ์ในรายงานสืบเนื่องจากการประชุมวิชาการระดับชาติ (ค่าน้ำหนัก 0.2) มีจำนวนเรื่อง</t>
  </si>
  <si>
    <t>2.1.2 บทความวิจัยหรือบทความวิชาการฉบับสมบูรณ์ที่ตีพิมพ์ในรายงานสืบเนื่องจากการประชุมวิชาการระดับนานาชาติ หรือในวารสารทางวิชาการระดับชาติที่ไม่อยู่ในฐานข้อมูล ตามประกาศ ก.พ.อ. หรือระเบียบคณะกรรมการการอุดมศึกษาว่าด้วย หลักเกณฑ์การพิจารณาวารสารทางวิชาการสำหรับการเผยแพร่ผลงานทางวิชาการ  แต่สถาบันนำเสนอสภาสถาบันอนุมัติและจัดทำเป็นประกาศให้ทราบเป็นการทั่วไป และแจ้งให้ กพอ./กกอ.ทราบภายใน 30 วันนับแต่วันที่ออกประกาศ (ค่าน้ำหนัก 0.4) มีจำนวนเรื่อง</t>
  </si>
  <si>
    <t>2.1.3 ผลงานที่ได้รับการจดอนุสิทธิบัตร (ค่าน้ำหนัก 0.4) มีจำนวนเรื่อง</t>
  </si>
  <si>
    <t>2.1.4 บทความวิจัยหรือบทความวิชาการฉบับสมบูรณ์ที่ตีพิมพ์ในวารสารทางวิชาการที่ปรากฏในฐานข้อมูล TCI กลุ่มที่ 2  (ค่าน้ำหนัก 0.6) มีจำนวนเรื่อง</t>
  </si>
  <si>
    <t>2.1.5 บทความวิจัยหรือบทความวิชาการฉบับสมบูรณ์ที่ตีพิมพ์ในวารสารทางวิชาการระดับนานาชาติที่ไม่อยู่ในฐานข้อมูล ตามประกาศ ก.พ.อ. หรือระเบียบคณะกรรมการการอุดมศึกษาว่าด้วย หลักเกณฑ์การพิจารณาวารสารทางวิชาการสำหรับการเผยแพร่ผลงานทางวิชาการ พ.ศ.2556   แต่สถาบันนำเสนอสภาสถาบันอนุมัติและจัดทำเป็นประกาศให้ทราบเป็นการทั่วไป และแจ้งให้ กพอ./กกอ.ทราบภายใน 30 วันนับแต่วันที่ออกประกาศ (ซึ่งไม่อยู่ใน Beall’s list) หรือตีพิมพ์ในวารสารวิชาการที่ปรากฏในฐานข้อมูล TCI กลุ่มที่ 1 (ค่าน้ำหนัก 0.8) มีจำนวนเรื่อง</t>
  </si>
  <si>
    <t>2.1.6 บทความวิจัยหรือบทความวิชาการฉบับสมบูรณ์ที่ตีพิมพ์ในวารสารทางวิชาการระดับนานาชาติที่ปรากฏในฐานข้อมูลระดับนานาชาติตามประกาศ ก.พ.อ. หรือระเบียบคณะกรรมการการอุดมศึกษา ว่าด้วยหลักเกณฑ์การพิจารณาวารสารทางวิชาการสำหรับการเผยแพร่ผลงานทางวิชาการ พ.ศ.2556  (ค่าน้ำหนัก 1.0) มีจำนวนเรื่อง</t>
  </si>
  <si>
    <t>2.1.7 ผลงานได้รับการจดสิทธิบัตร (ค่าน้ำหนัก 1.0) มีจำนวนเรื่อง</t>
  </si>
  <si>
    <t>2.1.8 ผลงานวิชาการรับใช้สังคมที่ได้รับการประเมินผ่านเกณฑ์การขอตำแหน่งทางวิชาการแล้ว (ค่าน้ำหนัก 1.0) มีจำนวนเรื่อง</t>
  </si>
  <si>
    <t>2.1.9 ผลงานวิจัยที่หน่วยงานหรือองค์กรระดับชาติว่าจ้างให้ดำเนินการ (ค่าน้ำหนัก 1.0) มีจำนวนเรื่อง</t>
  </si>
  <si>
    <t>2.1.10 ผลงานค้นพบพันธุ์พืช พันธุ์สัตว์ ที่ค้นพบใหม่และได้รับการจดทะเบียน (ค่าน้ำหนัก 1.0) มีจำนวนเรื่อง</t>
  </si>
  <si>
    <t>2.1.11 ตำราหรือหนังสือหรืองานแปลที่ได้รับการประเมินผ่านเกณฑ์การขอตำแหน่งทางวิชาการแล้ว (ค่าน้ำหนัก 1.0) มีจำนวนเรื่อง</t>
  </si>
  <si>
    <t>2.1.12 ตำราหรือหนังสือหรืองานแปลที่ผ่านการพิจารณาตามหลักเกณฑ์การประเมินตำแหน่งทางวิชาการ แต่ไม่ได้นำมาขอรับการประเมินตำแหน่งทางวิชาการ (ค่าน้ำหนัก 1.0) มีจำนวนเรื่อง</t>
  </si>
  <si>
    <t>2.2 จำนวนผลงานวิจัยและนวัตกรรมทั้งหมดของคณะ (คน)</t>
  </si>
  <si>
    <t xml:space="preserve"> 2.2.2 จำนวนผลงานวิจัยและนวัตกรรมที่ใช้ประโยนช์เชิงนโยบาย (เรื่อง)</t>
  </si>
  <si>
    <t xml:space="preserve"> 2.2.1 จำนวนผลงานวิจัยและนวัตกรรมที่ใช้ประโยนช์เชิงวิชาการ (เรื่อง)</t>
  </si>
  <si>
    <t xml:space="preserve"> 2.2.3 จำนวนผลงานวิจัยและนวัตกรรมที่ใช้ประโยนช์เชิงชุมชน/ สังคม (เรื่อง)</t>
  </si>
  <si>
    <t xml:space="preserve"> 2.2.4 จำนวนผลงานวิจัยและนวัตกรรมที่ใช้ประโยนช์เชิงพาณิชย์  (เรื่อง)</t>
  </si>
  <si>
    <t>3.1จำนวนผู้รับบริการทางวิชาการทั้งหมดของคณะ</t>
  </si>
  <si>
    <t>4.1 จำนวนกิจกรรมการละเล่นพื้นบ้านและกีฬาไทยทั้งหมดของคณะ</t>
  </si>
  <si>
    <t>5.4 จำนวนเงินสนับสนุนงานวิจัยและนวัตกรรม (เงินรายได้) ของคณะ</t>
  </si>
  <si>
    <t>5.5 จำนวนเงินสนับสนุนงานวิจัยและนวัตกรรม (เงินงบประมาณแผ่นดิน) ของคณะ</t>
  </si>
  <si>
    <t xml:space="preserve">     6.1.1 จำนวนนักศึกษาทั้งหมดของคณะ </t>
  </si>
  <si>
    <t xml:space="preserve">     6.1.2 จำนวนนักศึกษาที่เข้าร่วมการแข่งขันกีฬาระดับชาติ</t>
  </si>
  <si>
    <t xml:space="preserve">     6.1.3 จำนวนนักศึกษาที่เข้าร่วมการแข่งขันกีฬาระดับนานาชาติ</t>
  </si>
  <si>
    <t xml:space="preserve">   6.2 นักศึกษาที่ได้รับรางวัลจากการเข้าร่วมการแข่งขันกีฬาระดับนานาชาติ</t>
  </si>
  <si>
    <t xml:space="preserve">     6.2.1 จำนวนนักศึกษาที่เข้าร่วมการแข่งขันกีฬาระดับนานาชาติทั้งหมด</t>
  </si>
  <si>
    <t xml:space="preserve">     6.2.2 จำนวนนักศึกษาที่ได้รับรางวัลจากการเข้าร่วมการแข่งขันกีฬาระดับชาติ</t>
  </si>
  <si>
    <t xml:space="preserve">     6.2.3 จำนวนนักศึกษาที่ได้รับรางวัลจากการเข้าร่วมการแข่งขันกีฬาระดับนานาชาติ</t>
  </si>
  <si>
    <t xml:space="preserve">มาตรฐานที่ 7 เอกลักษณ์ด้านกีฬา  </t>
  </si>
  <si>
    <t>7.2  ผลงานวิจัยและนวัตกรรมด้านศาสตร์การกีฬา</t>
  </si>
  <si>
    <t xml:space="preserve">   7.2.1 จำนวนผลงานวิจัยและนวัตกรรมด้านศาสตร์การกีฬา (เรื่อง)</t>
  </si>
  <si>
    <t xml:space="preserve">   7.2.2 จำนวนผลงานวิจัยและนวัตกรรมทั้งหมด (เรื่อง)</t>
  </si>
  <si>
    <t>มาตรฐาน/ตัวบ่งชี้ระดับ</t>
  </si>
  <si>
    <t xml:space="preserve">   1.1.1 คะแนนผลประเมินบัณฑิตหลักสูตรวิทยาศาสตร์การกีฬาและการออกกำลังกาย (bESS)</t>
  </si>
  <si>
    <t xml:space="preserve">   1.1.2 คะแนนผลประเมินบัณฑิตหลักสูตรการส่งเสริมและพัฒนาสุขภาพ (bHP)</t>
  </si>
  <si>
    <t xml:space="preserve">   1.1.3 คะแนนผลประเมินบัณฑิตหลักสูตรวิทยาศาสตร์การฝึกสอนกีฬา (bSCS)</t>
  </si>
  <si>
    <t xml:space="preserve">   1.1.4 คะแนนผลประเมินบัณฑิตหลักสูตรการบริหารจัดการกีฬา (bSM)</t>
  </si>
  <si>
    <t xml:space="preserve">   1.1.5 คะแนนผลประเมินบัณฑิตหลักสูตรการบริหารจัดการธุรกิจสุขภาพ (bHBA)</t>
  </si>
  <si>
    <t xml:space="preserve">   1.1.6 คะแนนผลประเมินบัณฑิตหลักสูตรสื่อสารการกีฬา  (bSC)</t>
  </si>
  <si>
    <t xml:space="preserve">   1.1.7 คะแนนผลประเมินบัณฑิตหลักสูตรการท่องเที่ยวและนันทนาการ (bTR)</t>
  </si>
  <si>
    <t xml:space="preserve">   1.1.8 คะแนนผลประเมินมหาบัณฑิตหลักสูตรบริหารจัดการกีฬาและนันทนาการ (mSRM)</t>
  </si>
  <si>
    <t xml:space="preserve">   1.1.9 คะแนนผลประเมินบัณฑิตหลักสูตรพลศึกษา (bPE)</t>
  </si>
  <si>
    <t xml:space="preserve">   1.1.10 คะแนนผลประเมินบัณฑิตหลักสูตรสุขศึกษา (bHE)</t>
  </si>
  <si>
    <t xml:space="preserve">   1.1.11 คะแนนผลประเมินบัณฑิตหลักสูตรพลศึกษาสำหรับบุคคลพิเศษ (bSPE)</t>
  </si>
  <si>
    <t xml:space="preserve">   1.1.12 คะแนนผลประเมินบัณฑิตหลักสูตรพลศึกษาและสุขศึกษา (bPEHE)</t>
  </si>
  <si>
    <t xml:space="preserve">   1.1.13 คะแนนผลประเมินมหาบัณฑิตหลักสูตรพลศึกษาและกีฬา (mPE)</t>
  </si>
  <si>
    <t xml:space="preserve">   1.1.14 คะแนนผลประเมินดุษฎีบัณฑิตหลักสูตรพลศึกษาและกีฬา (dPES)</t>
  </si>
  <si>
    <t xml:space="preserve">   1.2.1 คะแนนที่ได้จากการแปลงค่าร้อยละของบัณฑิตหลักสูตรวิทยาศาสตร์การกีฬาและการออกกำลังกาย (bESS)</t>
  </si>
  <si>
    <t xml:space="preserve">   1.2.2 คะแนนที่ได้จากการแปลงค่าร้อยละของบัณฑิตหลักสูตรการส่งเสริมและพัฒนาสุขภาพ (bHP)</t>
  </si>
  <si>
    <t xml:space="preserve">   1.2.3 คะแนนที่ได้จากการแปลงค่าร้อยละของบัณฑิตหลักสูตรวิทยาศาสตร์การฝึกสอนกีฬา (bSCS)</t>
  </si>
  <si>
    <t xml:space="preserve">   1.2.4 คะแนนที่ได้จากการแปลงค่าร้อยละของบัณฑิตหลักสูตรการบริหารจัดการกีฬา (bSM)</t>
  </si>
  <si>
    <t xml:space="preserve">   1.2.5 คะแนนที่ได้จากการแปลงค่าร้อยละของบัณฑิตหลักสูตรการบริหารจัดการธุรกิจสุขภาพ (bHBA)</t>
  </si>
  <si>
    <t xml:space="preserve">   1.2.6 คะแนนที่ได้จากการแปลงค่าร้อยละของบัณฑิตหลักสูตรสื่อสารการกีฬา  (bSC)</t>
  </si>
  <si>
    <t xml:space="preserve">   1.2.7 คะแนนที่ได้จากการแปลงค่าร้อยละของบัณฑิตหลักสูตรการท่องเที่ยวและนันทนาการ (bTR)</t>
  </si>
  <si>
    <t xml:space="preserve">   1.2.8 คะแนนที่ได้จากการแปลงค่าร้อยละของบัณฑิตหลักสูตรพลศึกษา (bPE)</t>
  </si>
  <si>
    <t xml:space="preserve">   1.2.9 คะแนนที่ได้จากการแปลงค่าร้อยละของบัณฑิตหลักสูตรสุขศึกษา (bHE)</t>
  </si>
  <si>
    <t xml:space="preserve">   1.2.10 คะแนนที่ได้จากการแปลงค่าร้อยละของบัณฑิตหลักสูตรพลศึกษาสำหรับบุคคลพิเศษ (bSPE)</t>
  </si>
  <si>
    <t xml:space="preserve">   1.2.11 คะแนนที่ได้จากการแปลงค่าร้อยละของบัณฑิตหลักสูตรพลศึกษาและสุขศึกษา (bPEHE)</t>
  </si>
  <si>
    <t xml:space="preserve">   1.2.12 คะแนนที่ได้จากแปลงค่าร้อยละของผลรวมถ่วงน้ำหนักผลงานของนักศึกษาและผู้สำเร็จการศึกษาในระดับบัณฑิตศึกษาที่ได้รับการตีพิมพ์หรือเผยแพร่ หลักสูตรสาขาบริหารจัดการกีฬาและนันทนาการ (mSRM)</t>
  </si>
  <si>
    <t xml:space="preserve">   1.2.13 คะแนนที่ได้จากแปลงค่าร้อยละของผลรวมถ่วงน้ำหนักผลงานของนักศึกษาและผู้สำเร็จการศึกษาในระดับบัณฑิตศึกษา(ป.โท)ที่ได้รับการตีพิมพ์หรือเผยแพร่ หลักสูตรสาขาหลักสูตรพลศึกษาและกีฬา (mPE)</t>
  </si>
  <si>
    <t xml:space="preserve">   1.2.14 คะแนนที่ได้จากแปลงค่าร้อยละของผลรวมถ่วงน้ำหนักผลงานของนักศึกษาและผู้สำเร็จการศึกษาในระดับบัณฑิตศึกษา (ป.เอก)ที่ได้รับการตีพิมพ์หรือเผยแพร่ หลักสูตรสาขาพลศึกษาและกีฬา (dPES)</t>
  </si>
  <si>
    <t>1.3 นักศึกษาระดับปริญญาตรีชั้นปีสุดท้ายที่เป็นผู้สร้างหรือผู้ร่วมสร้างสรรค์นวัตกรรม</t>
  </si>
  <si>
    <t xml:space="preserve">   1.3.1 จำนวนนักศึกษาระดับปริญญาตรีชั้นปีสุดท้ายที่เป็นผู้สร้างหรือผู้ร่วมสร้างสรรค์นวัตกรรมหลักสูตรรวิทยาศาสตร์การกีฬาและการออกกำลังกาย (bESS)</t>
  </si>
  <si>
    <t xml:space="preserve">   1.3.2 จำนวนนักศึกษาระดับปริญญาตรีชั้นปีสุดท้ายที่เป็นผู้สร้างหรือผู้ร่วมสร้างสรรค์นวัตกรรมหลักสูตรการส่งเสริมและพัฒนาสุขภาพ (bHP)</t>
  </si>
  <si>
    <t xml:space="preserve">   1.3.3 จำนวนนักศึกษาระดับปริญญาตรีชั้นปีสุดท้ายที่เป็นผู้สร้างหรือผู้ร่วมสร้างสรรค์นวัตกรรมหลักสูตรวิทยาศาสตร์การฝึกสอนกีฬา (bSCS)</t>
  </si>
  <si>
    <t xml:space="preserve">   1.3.4 จำนวนนักศึกษาระดับปริญญาตรีชั้นปีสุดท้ายที่เป็นผู้สร้างหรือผู้ร่วมสร้างสรรค์นวัตกรรมหลักสูตรรการบริหารจัดการกีฬา (bSM)</t>
  </si>
  <si>
    <t xml:space="preserve">   1.3.5 จำนวนนักศึกษาระดับปริญญาตรีชั้นปีสุดท้ายที่เป็นผู้สร้างหรือผู้ร่วมสร้างสรรค์นวัตกรรมหลักสูตรการบริหารจัดการธุรกิจสุขภาพ (bHBA)</t>
  </si>
  <si>
    <t xml:space="preserve">   1.3.6 จำนวนนักศึกษาระดับปริญญาตรีชั้นปีสุดท้ายที่เป็นผู้สร้างหรือผู้ร่วมสร้างสรรค์นวัตกรรมหลักสูตรสื่อสารการกีฬา  (bSC)</t>
  </si>
  <si>
    <t xml:space="preserve">   1.3.7 จำนวนนักศึกษาระดับปริญญาตรีชั้นปีสุดท้ายที่เป็นผู้สร้างหรือผู้ร่วมสร้างสรรค์นวัตกรรมหลักสูตรการท่องเที่ยวและนันทนาการ (bTR)</t>
  </si>
  <si>
    <t xml:space="preserve">   1.3.8 จำนวนนักศึกษาระดับปริญญาตรีชั้นปีสุดท้ายที่เป็นผู้สร้างหรือผู้ร่วมสร้างสรรค์นวัตกรรมหลักสูตรพลศึกษา (bPE)</t>
  </si>
  <si>
    <t xml:space="preserve">   1.3.9 จำนวนนักศึกษาระดับปริญญาตรีชั้นปีสุดท้ายที่เป็นผู้สร้างหรือผู้ร่วมสร้างสรรค์นวัตกรรมหลักสูตรสุขศึกษา (bHE)</t>
  </si>
  <si>
    <t xml:space="preserve">   1.3.10 จำนวนนักศึกษาระดับปริญญาตรีชั้นปีสุดท้ายที่เป็นผู้สร้างหรือผู้ร่วมสร้างสรรค์นวัตกรรมหลักสูตรพลศึกษาสำหรับบุคคลพิเศษ (bSPE)</t>
  </si>
  <si>
    <t xml:space="preserve">   1.3.11 จำนวนนักศึกษาระดับปริญญาตรีชั้นปีสุดท้ายที่เป็นผู้สร้างหรือผู้ร่วมสร้างสรรค์นวัตกรรมหลักสูตรพลศึกษาและสุขศึกษา (bPEHE)</t>
  </si>
  <si>
    <t xml:space="preserve">   1.4.1 จำนวนนักศึกษาระดับปริญญาตรีชั้นปีสุดท้ายที่สอบผ่านภาษาอังกฤษตามเกณฑ์ที่กำหนดหลักสูตรวิทยาศาสตร์การกีฬาและการออกกำลังกาย (bESS)</t>
  </si>
  <si>
    <t xml:space="preserve">   1.4.2 จำนวนนักศึกษาระดับปริญญาตรีชั้นปีสุดท้ายที่สอบผ่านภาษาอังกฤษตามเกณฑ์ที่กำหนดหลักสูตรการส่งเสริมและพัฒนาสุขภาพ (bHP)</t>
  </si>
  <si>
    <t xml:space="preserve">   1.4.3 จำนวนนักศึกษาระดับปริญญาตรีชั้นปีสุดท้ายที่สอบผ่านภาษาอังกฤษตามเกณฑ์ที่กำหนดหลักสูตรรวิทยาศาสตร์การฝึกสอนกีฬา (bSCS)</t>
  </si>
  <si>
    <t xml:space="preserve">   1.4.4 จำนวนนักศึกษาระดับปริญญาตรีชั้นปีสุดท้ายที่สอบผ่านภาษาอังกฤษตามเกณฑ์ที่กำหนดหลักสูตรการบริหารจัดการกีฬา (bSM)</t>
  </si>
  <si>
    <t xml:space="preserve">   1.4.5 จำนวนนักศึกษาระดับปริญญาตรีชั้นปีสุดท้ายที่สอบผ่านภาษาอังกฤษตามเกณฑ์ที่กำหนดหลักสูตรการบริหารจัดการธุรกิจสุขภาพ (bHBA)</t>
  </si>
  <si>
    <t xml:space="preserve">   1.4.6 จำนวนนักศึกษาระดับปริญญาตรีชั้นปีสุดท้ายที่สอบผ่านภาษาอังกฤษตามเกณฑ์ที่กำหนดหลักสูตรสื่อสารการกีฬา  (bSC)</t>
  </si>
  <si>
    <t xml:space="preserve">   1.4.7 จำนวนนักศึกษาระดับปริญญาตรีชั้นปีสุดท้ายที่สอบผ่านภาษาอังกฤษตามเกณฑ์ที่กำหนดหลักสูตรการท่องเที่ยวและนันทนาการ (bTR)</t>
  </si>
  <si>
    <t xml:space="preserve">   1.4.8 จำนวนนักศึกษาระดับปริญญาตรีชั้นปีสุดท้ายที่สอบผ่านภาษาอังกฤษตามเกณฑ์ที่กำหนดหลักสูตรพลศึกษา (bPE)</t>
  </si>
  <si>
    <t xml:space="preserve">   1.4.9 จำนวนนักศึกษาระดับปริญญาตรีชั้นปีสุดท้ายที่สอบผ่านภาษาอังกฤษตามเกณฑ์ที่กำหนดหลักสูตรสุขศึกษา (bHE)</t>
  </si>
  <si>
    <t xml:space="preserve">   1.4.10 จำนวนนักศึกษาระดับปริญญาตรีชั้นปีสุดท้ายที่สอบผ่านภาษาอังกฤษตามเกณฑ์ที่กำหนดหลักสูตรพลศึกษาสำหรับบุคคลพิเศษ (bSPE)</t>
  </si>
  <si>
    <t xml:space="preserve">   1.4.11 จำนวนนักศึกษาระดับปริญญาตรีชั้นปีสุดท้ายที่สอบผ่านภาษาอังกฤษตามเกณฑ์ที่กำหนดหลักสูตรพลศึกษาและสุขศึกษา (bPEHE)</t>
  </si>
  <si>
    <t>2.1 ผลงานทางวิชาการของอาจารย์ประจำคณะทั้งหมด (เรื่อง)</t>
  </si>
  <si>
    <t xml:space="preserve">   6.3 นักศึกษาในศูนย์กีฬาเพื่อความเป็นเลิศที่เข้าร่วมการแข่งขันกีฬาระดับนานาชาติ</t>
  </si>
  <si>
    <t xml:space="preserve">     6.3.1 จำนวนนักศึกษาในศูนย์กีฬาเพื่อความเป็นเลิศที่เข้าร่วมการแข่งขันกีฬาระดับนานาชาติ</t>
  </si>
  <si>
    <t xml:space="preserve">     6.3.2 จำนวนนักศึกษาในศูนย์กีฬาเพื่อความเป็นเลิศที่ได้รับรางวัลจากการเข้าร่วมการแข่งขันกีฬาระดับนานาชาติ</t>
  </si>
  <si>
    <t>ระบบคำนวณจาก CDS</t>
  </si>
  <si>
    <t>วิทยาเขตเป็น ค่าน้ำหนักรวม</t>
  </si>
  <si>
    <t>กรอกผลดำเนินงานเป็นทศนิยมสองตำแหน่ง</t>
  </si>
  <si>
    <t>ART</t>
  </si>
  <si>
    <t>SCI</t>
  </si>
  <si>
    <t>EDU</t>
  </si>
  <si>
    <t>ตัวตั้ง 1.3</t>
  </si>
  <si>
    <t>ตัวตั้ง 2.2</t>
  </si>
  <si>
    <t>ตัวตั้ง 5.4</t>
  </si>
  <si>
    <t>ตัวตั้ง 5.5</t>
  </si>
  <si>
    <t>ตัวตั้ง 5.8</t>
  </si>
  <si>
    <t>ตัวตั้ง 5.9</t>
  </si>
  <si>
    <t xml:space="preserve">     5.7.1.1 จำนวนอาจารย์ประจำคณะทั้งหมดที่ดำรงตำแหน่งอาจารย์ ที่สำเร็จการศึกษาวุฒิปริญญาตรี</t>
  </si>
  <si>
    <t xml:space="preserve">      5.7.1.2 จำนวนอาจารย์ประจำคณะทั้งหมดที่ดำรงตำแหน่งอาจารย์ ที่สำเร็จการศึกษาวุฒิปริญญาโท</t>
  </si>
  <si>
    <t xml:space="preserve">     5.7.1.3 จำนวนอาจารย์ประจำคณะทั้งหมดที่ดำรงตำแหน่งอาจารย์ ที่สำเร็จการศึกษาวุฒิปริญญาเอก</t>
  </si>
  <si>
    <t>5.7.1 จำนวนอาจารย์ประจำคณะทั้งหมดที่ดำรงตำแหน่งอาจารย์</t>
  </si>
  <si>
    <t>5.7.2 จำนวนอาจารย์ประจำคณะทั้งหมดที่ดำรงตำแหน่งผู้ช่วยศาสตราจารย์</t>
  </si>
  <si>
    <t xml:space="preserve">     5.7.2.1 จำนวนอาจารย์ประจำคณะทั้งหมดที่ดำรงตำแหน่งผู้ช่วยศาสตราจารย์ ที่สำเร็จการศึกษาวุฒิปริญญาตรี</t>
  </si>
  <si>
    <t xml:space="preserve">     5.7.2.2 จำนวนอาจารย์ประจำคณะทั้งหมดที่ดำรงตำแหน่งผู้ช่วยศาสตราจารย์ ที่สำเร็จการศึกษาวุฒิปริญญาโท</t>
  </si>
  <si>
    <t xml:space="preserve">     5.7.2.3 จำนวนอาจารย์ประจำคณะทั้งหมดที่ดำรงตำแหน่งผู้ช่วยศาสตราจารย์  ที่สำเร็จการศึกษาวุฒิปริญญาเอก</t>
  </si>
  <si>
    <t xml:space="preserve">     5.7.3.1 จำนวนอาจารย์ประจำคณะทั้งหมดที่ดำรงตำแหน่งรองศาสตราจารย์ ที่สำเร็จการศึกษาวุฒิปริญญาตรี</t>
  </si>
  <si>
    <t xml:space="preserve">    5.7.3.2 จำนวนอาจารย์ประจำคณะทั้งหมดที่ดำรงตำแหน่งรองศาสตราจารย์ ที่สำเร็จการศึกษาวุฒิปริญญาโท</t>
  </si>
  <si>
    <t xml:space="preserve">    5.7.3.3 จำนวนอาจารย์ประจำคณะทั้งหมดที่ดำรงตำแหน่งรองศาสตราจารย์ ที่สำเร็จการศึกษาวุฒิปริญญาเอก</t>
  </si>
  <si>
    <t>5.7.4 จำนวนอาจารย์ประจำคณะทั้งหมดที่ดำรงตำแหน่งศาสตราจารย์</t>
  </si>
  <si>
    <t xml:space="preserve">     5.7.4.1 จำนวนอาจารย์ประจำคณะทั้งหมดที่ดำรงตำแหน่งศาสตราจารย์ ที่สำเร็จการศึกษาวุฒิปริญญาตรี</t>
  </si>
  <si>
    <t xml:space="preserve">     5.7.4.2 จำนวนอาจารย์ประจำคณะทั้งหมดที่ดำรงตำแหน่งศาสตราจารย์ ที่สำเร็จการศึกษาวุฒิปริญญาโท</t>
  </si>
  <si>
    <t xml:space="preserve">    5.7.4.3 จำนวนอาจารย์ประจำคณะทั้งหมดที่ดำรงตำแหน่งศาสตราจารย์ ที่สำเร็จการศึกษาวุฒิปริญญาเอก</t>
  </si>
  <si>
    <t xml:space="preserve"> 5.7.5 จำนวนอาจารย์ประจำคณะทั้งหมดที่ดำรงตำแหน่งอื่น (เช่น ครู คศ. ทุกระดับ)</t>
  </si>
  <si>
    <t xml:space="preserve">   1.1.2 คะแนนประเมินหลักสูตรการส่งเสริมและพัฒนาสุขภาพ (bHP)</t>
  </si>
  <si>
    <t xml:space="preserve">   1.1.1 คะแนนประเมินหลักสูตรวิทยาศาสตร์การกีฬาและการออกกำลังกาย (bESS)</t>
  </si>
  <si>
    <t xml:space="preserve">   1.1.3 คะแนนประเมินบัณฑิตหลักสูตรวิทยาศาสตร์การฝึกสอนกีฬา (bSCS)</t>
  </si>
  <si>
    <t xml:space="preserve">   1.1.4 คะแนนประเมินหลักสูตรการบริหารจัดการกีฬา (bSM)</t>
  </si>
  <si>
    <t xml:space="preserve">   1.1.5 คะแนนประเมินหลักสูตรการบริหารจัดการธุรกิจสุขภาพ (bHBA)</t>
  </si>
  <si>
    <t xml:space="preserve">   1.1.6 คะแนนประเมินหลักสูตรสื่อสารการกีฬา  (bSC)</t>
  </si>
  <si>
    <t xml:space="preserve">   1.1.7 คะแนนประเมินหลักสูตรการท่องเที่ยวและนันทนาการ (bTR)</t>
  </si>
  <si>
    <t xml:space="preserve">   1.1.9 คะแนนประเมินหลักสูตรพลศึกษา (bPE)</t>
  </si>
  <si>
    <t xml:space="preserve">   1.1.10 คะแนนประเมินหลักสูตรสุขศึกษา (bHE)</t>
  </si>
  <si>
    <t xml:space="preserve">   1.1.11 คะแนนประเมินหลักสูตรพลศึกษาสำหรับบุคคลพิเศษ (bSPE)</t>
  </si>
  <si>
    <t xml:space="preserve">   1.1.12 คะแนนประเมินหลักสูตรพลศึกษาและสุขศึกษา (bPEHE)</t>
  </si>
  <si>
    <t xml:space="preserve">   1.1.13 คะแนนประเมินหลักสูตรพลศึกษาและกีฬา (mPE)</t>
  </si>
  <si>
    <t xml:space="preserve">   1.1.14 คะแนนประเมินหลักสูตรพลศึกษาและกีฬา (dPES)</t>
  </si>
  <si>
    <t>5.11 ผลการประเมินหลักสูตรของวิทยาเขต</t>
  </si>
  <si>
    <t>กรณีกรอกข้อมูลในในเซลที่ไม่มีการดำเนินงาน ไม่ต้องกรอกอะไรเลย เช่น ไม่ได้เปิดหลักสูตรนั้นในวิทยาเขต</t>
  </si>
  <si>
    <t>กรอกข้อมูลในส่วนของ CDS ให้ครบถ้วนโดยสามารถกรอกได้ในเซลที่เป็นพื้นสีขาวเท่านั้น</t>
  </si>
  <si>
    <t>เมื่อกรอก ชีท "ป1 คณะ" ครบทุกคณะ จะได้คะแนนใน "ป2 ระดับคณะ" และมีคะแนน ป1 ระดับวิทยาเขตบางส่วน</t>
  </si>
  <si>
    <t>กรอก ชีท "ป1 ระดับวิทยาเขต" บางส่วน โดยสามารถกรอกได้ในเซลที่เป็นพื้นสีขาวเท่านั้น</t>
  </si>
  <si>
    <t>ตัวตั้ง 6.1</t>
  </si>
  <si>
    <t>ได้ข้อ 1 2 3 4 5</t>
  </si>
  <si>
    <t>ได้ข้อ 1 2 3 4 5 6</t>
  </si>
  <si>
    <t>ตัวหาร 5.9</t>
  </si>
  <si>
    <t>ตัวหาร 5.8</t>
  </si>
  <si>
    <t xml:space="preserve">5.5 เงินสนับสนุนงานวิจัยและนวัตกรรม (เงินงบประมาณแผ่นดิน)      </t>
  </si>
  <si>
    <t>โปรดระบุชื่อวิทยาเขต</t>
  </si>
  <si>
    <t>โปรดกรอกตัวตั้งและตัวหารให้ครบทุกตัวบ่งชี้</t>
  </si>
  <si>
    <t>เมื่อกรอกแทป CDS ครบ ให้เริ่มกรอกชีท "ป1 คณะ" โดยกรอกตัวตั้งและตัวหารให้ครบทุกตัวในเซลที่เป็นพื้นสีชมพูเท่านั้น</t>
  </si>
  <si>
    <t>กรอก ชีท "ป1 ระดับคณะ" ในช่องคะแนน ตัวบ่งชี้ที่ 1.2, 1.4,2.1,4.1,5.1, 5.2,5.3,5.6, 5.7,5.10 และ 5.12  โดยสามารถกรอกได้ในเซลที่เป็นพื้นสีขาวเท่านั้น</t>
  </si>
  <si>
    <t>วิทยาเขต ยะลา</t>
  </si>
  <si>
    <t>ได้ข้อ 1 2 3 4</t>
  </si>
  <si>
    <t>5.6 จำนวนอาจารย์ประจำทั้งหมดของคณะ (ให้นับที่ปฏิบัติงานจริง และลาศึกษาต่อ)</t>
  </si>
  <si>
    <t>5.7.3 จำนวนอาจารย์ประจำคณะทั้งหมดที่ดำรงตำแหน่งรองศาสตราจารย์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</si>
</sst>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 #,##0_-;\-* #,##0_-;_-* &quot;-&quot;??_-;_-@_-"/>
    <numFmt numFmtId="166" formatCode="#,##0.0"/>
    <numFmt numFmtId="167" formatCode="#,##0.00_ ;\-#,##0.00\ "/>
    <numFmt numFmtId="168" formatCode="#,##0.00;[Red]#,##0.00"/>
  </numFmts>
  <fonts count="112">
    <font>
      <sz val="11"/>
      <color theme="1"/>
      <name val="Calibri"/>
      <family val="2"/>
      <charset val="222"/>
      <scheme val="minor"/>
    </font>
    <font>
      <b/>
      <sz val="18"/>
      <color theme="1"/>
      <name val="TH SarabunPSK"/>
      <family val="2"/>
    </font>
    <font>
      <sz val="16"/>
      <color theme="1"/>
      <name val="TH SarabunPSK"/>
      <family val="2"/>
    </font>
    <font>
      <b/>
      <sz val="16"/>
      <color theme="1"/>
      <name val="TH SarabunPSK"/>
      <family val="2"/>
    </font>
    <font>
      <b/>
      <sz val="15"/>
      <color theme="1"/>
      <name val="TH SarabunPSK"/>
      <family val="2"/>
    </font>
    <font>
      <sz val="15"/>
      <color theme="1"/>
      <name val="TH SarabunPSK"/>
      <family val="2"/>
    </font>
    <font>
      <b/>
      <sz val="14"/>
      <color rgb="FFFF0000"/>
      <name val="TH SarabunPSK"/>
      <family val="2"/>
    </font>
    <font>
      <sz val="15"/>
      <color rgb="FF000000"/>
      <name val="TH SarabunPSK"/>
      <family val="2"/>
    </font>
    <font>
      <b/>
      <sz val="12"/>
      <color theme="1"/>
      <name val="TH SarabunPSK"/>
      <family val="2"/>
    </font>
    <font>
      <b/>
      <sz val="18"/>
      <color rgb="FFFF0000"/>
      <name val="TH SarabunPSK"/>
      <family val="2"/>
    </font>
    <font>
      <sz val="16"/>
      <color rgb="FFFF0000"/>
      <name val="TH SarabunPSK"/>
      <family val="2"/>
    </font>
    <font>
      <b/>
      <sz val="16"/>
      <color rgb="FFC00000"/>
      <name val="TH SarabunPSK"/>
      <family val="2"/>
    </font>
    <font>
      <b/>
      <sz val="14"/>
      <color rgb="FF000099"/>
      <name val="TH SarabunPSK"/>
      <family val="2"/>
    </font>
    <font>
      <sz val="16"/>
      <color rgb="FF000099"/>
      <name val="TH SarabunPSK"/>
      <family val="2"/>
    </font>
    <font>
      <b/>
      <sz val="16"/>
      <color rgb="FF000099"/>
      <name val="TH SarabunPSK"/>
      <family val="2"/>
    </font>
    <font>
      <b/>
      <sz val="20"/>
      <color rgb="FFFF0000"/>
      <name val="TH SarabunPSK"/>
      <family val="2"/>
    </font>
    <font>
      <sz val="16"/>
      <color rgb="FF000000"/>
      <name val="TH SarabunPSK"/>
      <family val="2"/>
    </font>
    <font>
      <b/>
      <sz val="16"/>
      <color rgb="FF000000"/>
      <name val="TH SarabunPSK"/>
      <family val="2"/>
    </font>
    <font>
      <b/>
      <sz val="18"/>
      <color rgb="FF000000"/>
      <name val="TH SarabunPSK"/>
      <family val="2"/>
    </font>
    <font>
      <b/>
      <sz val="18"/>
      <color rgb="FF943634"/>
      <name val="TH SarabunPSK"/>
      <family val="2"/>
    </font>
    <font>
      <b/>
      <sz val="28"/>
      <color theme="1"/>
      <name val="TH SarabunPSK"/>
      <family val="2"/>
    </font>
    <font>
      <b/>
      <sz val="18"/>
      <color rgb="FFFF3399"/>
      <name val="Calibri"/>
      <family val="2"/>
      <scheme val="minor"/>
    </font>
    <font>
      <sz val="12"/>
      <color theme="1"/>
      <name val="Calibri"/>
      <family val="2"/>
      <charset val="222"/>
      <scheme val="minor"/>
    </font>
    <font>
      <b/>
      <sz val="20"/>
      <color rgb="FFFF3399"/>
      <name val="TH SarabunPSK"/>
      <family val="2"/>
    </font>
    <font>
      <b/>
      <sz val="16"/>
      <color rgb="FF0000FF"/>
      <name val="TH SarabunPSK"/>
      <family val="2"/>
    </font>
    <font>
      <sz val="11"/>
      <color theme="1"/>
      <name val="Calibri"/>
      <family val="2"/>
      <charset val="222"/>
      <scheme val="minor"/>
    </font>
    <font>
      <b/>
      <sz val="16"/>
      <name val="TH SarabunPSK"/>
      <family val="2"/>
    </font>
    <font>
      <b/>
      <sz val="20"/>
      <color theme="1"/>
      <name val="TH SarabunPSK"/>
      <family val="2"/>
    </font>
    <font>
      <b/>
      <sz val="18"/>
      <color rgb="FFC00000"/>
      <name val="TH SarabunPSK"/>
      <family val="2"/>
    </font>
    <font>
      <b/>
      <sz val="18"/>
      <name val="TH SarabunPSK"/>
      <family val="2"/>
    </font>
    <font>
      <b/>
      <sz val="18"/>
      <color rgb="FF990000"/>
      <name val="TH SarabunPSK"/>
      <family val="2"/>
    </font>
    <font>
      <b/>
      <sz val="36"/>
      <color rgb="FF990000"/>
      <name val="TH SarabunPSK"/>
      <family val="2"/>
    </font>
    <font>
      <b/>
      <sz val="14"/>
      <name val="TH SarabunPSK"/>
      <family val="2"/>
    </font>
    <font>
      <b/>
      <sz val="18"/>
      <color rgb="FF0000FF"/>
      <name val="TH SarabunPSK"/>
      <family val="2"/>
    </font>
    <font>
      <b/>
      <sz val="36"/>
      <color rgb="FF0000FF"/>
      <name val="TH SarabunPSK"/>
      <family val="2"/>
    </font>
    <font>
      <b/>
      <sz val="20"/>
      <color rgb="FFC00000"/>
      <name val="TH SarabunPSK"/>
      <family val="2"/>
    </font>
    <font>
      <b/>
      <sz val="20"/>
      <color rgb="FF990000"/>
      <name val="TH SarabunPSK"/>
      <family val="2"/>
    </font>
    <font>
      <b/>
      <sz val="20"/>
      <color rgb="FF0000FF"/>
      <name val="TH SarabunPSK"/>
      <family val="2"/>
    </font>
    <font>
      <b/>
      <sz val="20"/>
      <color rgb="FF006600"/>
      <name val="TH SarabunPSK"/>
      <family val="2"/>
    </font>
    <font>
      <b/>
      <sz val="18"/>
      <color rgb="FF006600"/>
      <name val="TH SarabunPSK"/>
      <family val="2"/>
    </font>
    <font>
      <b/>
      <sz val="36"/>
      <color rgb="FF006600"/>
      <name val="TH SarabunPSK"/>
      <family val="2"/>
    </font>
    <font>
      <sz val="9"/>
      <color rgb="FF7030A0"/>
      <name val="Calibri"/>
      <family val="2"/>
      <charset val="222"/>
      <scheme val="minor"/>
    </font>
    <font>
      <b/>
      <sz val="11"/>
      <color rgb="FFFF3399"/>
      <name val="Calibri"/>
      <family val="2"/>
      <scheme val="minor"/>
    </font>
    <font>
      <b/>
      <sz val="22"/>
      <color rgb="FF0000FF"/>
      <name val="TH SarabunPSK"/>
      <family val="2"/>
    </font>
    <font>
      <b/>
      <sz val="22"/>
      <color rgb="FF990000"/>
      <name val="TH SarabunPSK"/>
      <family val="2"/>
    </font>
    <font>
      <b/>
      <sz val="22"/>
      <color rgb="FF006600"/>
      <name val="TH SarabunPSK"/>
      <family val="2"/>
    </font>
    <font>
      <b/>
      <sz val="16"/>
      <color rgb="FF006600"/>
      <name val="TH SarabunPSK"/>
      <family val="2"/>
    </font>
    <font>
      <sz val="9"/>
      <color indexed="81"/>
      <name val="Tahoma"/>
      <family val="2"/>
    </font>
    <font>
      <b/>
      <sz val="9"/>
      <color indexed="81"/>
      <name val="Tahoma"/>
      <family val="2"/>
    </font>
    <font>
      <sz val="11"/>
      <color rgb="FFC00000"/>
      <name val="Calibri"/>
      <family val="2"/>
      <charset val="222"/>
      <scheme val="minor"/>
    </font>
    <font>
      <b/>
      <sz val="22"/>
      <name val="TH SarabunPSK"/>
      <family val="2"/>
    </font>
    <font>
      <b/>
      <sz val="20"/>
      <color rgb="FF000000"/>
      <name val="TH SarabunPSK"/>
      <family val="2"/>
    </font>
    <font>
      <b/>
      <sz val="22"/>
      <color rgb="FF000000"/>
      <name val="TH SarabunPSK"/>
      <family val="2"/>
    </font>
    <font>
      <sz val="22"/>
      <color rgb="FF000000"/>
      <name val="TH SarabunPSK"/>
      <family val="2"/>
    </font>
    <font>
      <b/>
      <sz val="24"/>
      <color rgb="FF000000"/>
      <name val="TH SarabunPSK"/>
      <family val="2"/>
    </font>
    <font>
      <b/>
      <sz val="22"/>
      <color rgb="FFFF3399"/>
      <name val="TH SarabunPSK"/>
      <family val="2"/>
    </font>
    <font>
      <b/>
      <sz val="22"/>
      <color theme="9" tint="-0.499984740745262"/>
      <name val="TH SarabunPSK"/>
      <family val="2"/>
    </font>
    <font>
      <sz val="11"/>
      <color indexed="10"/>
      <name val="Tahoma"/>
      <family val="2"/>
    </font>
    <font>
      <sz val="11"/>
      <color rgb="FF0000FF"/>
      <name val="Calibri"/>
      <family val="2"/>
      <charset val="222"/>
      <scheme val="minor"/>
    </font>
    <font>
      <sz val="11"/>
      <color rgb="FF990000"/>
      <name val="Calibri"/>
      <family val="2"/>
      <charset val="222"/>
      <scheme val="minor"/>
    </font>
    <font>
      <sz val="11"/>
      <color rgb="FF006600"/>
      <name val="Calibri"/>
      <family val="2"/>
      <charset val="222"/>
      <scheme val="minor"/>
    </font>
    <font>
      <sz val="15"/>
      <color rgb="FF990000"/>
      <name val="TH SarabunPSK"/>
      <family val="2"/>
    </font>
    <font>
      <sz val="15"/>
      <color rgb="FF0000FF"/>
      <name val="TH SarabunPSK"/>
      <family val="2"/>
    </font>
    <font>
      <b/>
      <sz val="20"/>
      <name val="TH SarabunPSK"/>
      <family val="2"/>
    </font>
    <font>
      <b/>
      <sz val="24"/>
      <color rgb="FF006600"/>
      <name val="TH SarabunPSK"/>
      <family val="2"/>
    </font>
    <font>
      <sz val="14"/>
      <color rgb="FF000000"/>
      <name val="TH SarabunPSK"/>
      <family val="2"/>
    </font>
    <font>
      <sz val="14"/>
      <color rgb="FF990000"/>
      <name val="Calibri"/>
      <family val="2"/>
      <charset val="222"/>
      <scheme val="minor"/>
    </font>
    <font>
      <sz val="9"/>
      <color indexed="33"/>
      <name val="Tahoma"/>
      <family val="2"/>
    </font>
    <font>
      <sz val="11"/>
      <color indexed="14"/>
      <name val="Calibri"/>
      <family val="2"/>
      <scheme val="minor"/>
    </font>
    <font>
      <sz val="14"/>
      <color rgb="FF0000FF"/>
      <name val="TH SarabunPSK"/>
      <family val="2"/>
    </font>
    <font>
      <b/>
      <sz val="14"/>
      <color theme="1"/>
      <name val="TH SarabunPSK"/>
      <family val="2"/>
    </font>
    <font>
      <b/>
      <sz val="14"/>
      <color rgb="FF990000"/>
      <name val="TH SarabunPSK"/>
      <family val="2"/>
    </font>
    <font>
      <b/>
      <sz val="14"/>
      <color rgb="FF0000FF"/>
      <name val="TH SarabunPSK"/>
      <family val="2"/>
    </font>
    <font>
      <sz val="15"/>
      <name val="TH SarabunPSK"/>
      <family val="2"/>
    </font>
    <font>
      <sz val="9"/>
      <color rgb="FF990000"/>
      <name val="Calibri"/>
      <family val="2"/>
      <charset val="222"/>
      <scheme val="minor"/>
    </font>
    <font>
      <b/>
      <sz val="11"/>
      <color rgb="FF006600"/>
      <name val="Calibri"/>
      <family val="2"/>
      <scheme val="minor"/>
    </font>
    <font>
      <sz val="14"/>
      <color rgb="FF0000FF"/>
      <name val="Calibri"/>
      <family val="2"/>
      <charset val="222"/>
      <scheme val="minor"/>
    </font>
    <font>
      <sz val="14"/>
      <color theme="1"/>
      <name val="Calibri"/>
      <family val="2"/>
      <charset val="222"/>
      <scheme val="minor"/>
    </font>
    <font>
      <sz val="14"/>
      <color rgb="FF006600"/>
      <name val="Calibri"/>
      <family val="2"/>
      <charset val="222"/>
      <scheme val="minor"/>
    </font>
    <font>
      <b/>
      <sz val="14"/>
      <color rgb="FF006600"/>
      <name val="Calibri"/>
      <family val="2"/>
      <scheme val="minor"/>
    </font>
    <font>
      <b/>
      <sz val="14"/>
      <color rgb="FFFF0000"/>
      <name val="Calibri"/>
      <family val="2"/>
      <scheme val="minor"/>
    </font>
    <font>
      <b/>
      <sz val="14"/>
      <color rgb="FF0000FF"/>
      <name val="Calibri"/>
      <family val="2"/>
      <scheme val="minor"/>
    </font>
    <font>
      <b/>
      <sz val="14"/>
      <name val="Calibri"/>
      <family val="2"/>
      <scheme val="minor"/>
    </font>
    <font>
      <b/>
      <sz val="14"/>
      <color rgb="FFFF0000"/>
      <name val="Calibri"/>
      <family val="2"/>
      <charset val="222"/>
      <scheme val="minor"/>
    </font>
    <font>
      <b/>
      <sz val="14"/>
      <color rgb="FF0000FF"/>
      <name val="Calibri"/>
      <family val="2"/>
      <charset val="222"/>
      <scheme val="minor"/>
    </font>
    <font>
      <b/>
      <sz val="14"/>
      <color theme="1"/>
      <name val="Calibri"/>
      <family val="2"/>
      <charset val="222"/>
      <scheme val="minor"/>
    </font>
    <font>
      <b/>
      <sz val="14"/>
      <color rgb="FF006600"/>
      <name val="Calibri"/>
      <family val="2"/>
      <charset val="222"/>
      <scheme val="minor"/>
    </font>
    <font>
      <b/>
      <sz val="14"/>
      <color theme="1"/>
      <name val="Calibri"/>
      <family val="2"/>
      <scheme val="minor"/>
    </font>
    <font>
      <sz val="14"/>
      <color rgb="FFC00000"/>
      <name val="Calibri"/>
      <family val="2"/>
      <charset val="222"/>
      <scheme val="minor"/>
    </font>
    <font>
      <b/>
      <sz val="14"/>
      <color rgb="FFC00000"/>
      <name val="Calibri"/>
      <family val="2"/>
      <scheme val="minor"/>
    </font>
    <font>
      <sz val="12"/>
      <color rgb="FF990000"/>
      <name val="Calibri"/>
      <family val="2"/>
      <charset val="222"/>
      <scheme val="minor"/>
    </font>
    <font>
      <sz val="12"/>
      <color rgb="FF0000FF"/>
      <name val="Calibri"/>
      <family val="2"/>
      <charset val="222"/>
      <scheme val="minor"/>
    </font>
    <font>
      <b/>
      <sz val="13"/>
      <color rgb="FF006600"/>
      <name val="Calibri"/>
      <family val="2"/>
      <scheme val="minor"/>
    </font>
    <font>
      <b/>
      <sz val="14"/>
      <color rgb="FF990000"/>
      <name val="Calibri"/>
      <family val="2"/>
      <scheme val="minor"/>
    </font>
    <font>
      <b/>
      <sz val="12"/>
      <color rgb="FF7030A0"/>
      <name val="Calibri"/>
      <family val="2"/>
      <scheme val="minor"/>
    </font>
    <font>
      <b/>
      <sz val="15"/>
      <color rgb="FF000000"/>
      <name val="TH SarabunPSK"/>
      <family val="2"/>
    </font>
    <font>
      <sz val="11"/>
      <name val="Calibri"/>
      <family val="2"/>
      <charset val="222"/>
      <scheme val="minor"/>
    </font>
    <font>
      <sz val="20"/>
      <color rgb="FF0000FF"/>
      <name val="TH SarabunPSK"/>
      <family val="2"/>
    </font>
    <font>
      <b/>
      <sz val="12"/>
      <name val="Calibri"/>
      <family val="2"/>
      <scheme val="minor"/>
    </font>
    <font>
      <sz val="11"/>
      <name val="Calibri"/>
      <family val="2"/>
      <scheme val="minor"/>
    </font>
    <font>
      <b/>
      <sz val="12"/>
      <color rgb="FF990000"/>
      <name val="Calibri"/>
      <family val="2"/>
      <scheme val="minor"/>
    </font>
    <font>
      <sz val="11"/>
      <color rgb="FF990000"/>
      <name val="Calibri"/>
      <family val="2"/>
      <scheme val="minor"/>
    </font>
    <font>
      <b/>
      <sz val="12"/>
      <color rgb="FF0000FF"/>
      <name val="Calibri"/>
      <family val="2"/>
      <scheme val="minor"/>
    </font>
    <font>
      <b/>
      <sz val="12"/>
      <color theme="1"/>
      <name val="Calibri"/>
      <family val="2"/>
      <scheme val="minor"/>
    </font>
    <font>
      <sz val="11"/>
      <color theme="1"/>
      <name val="Calibri"/>
      <family val="2"/>
      <scheme val="minor"/>
    </font>
    <font>
      <b/>
      <sz val="10"/>
      <color indexed="33"/>
      <name val="Tahoma"/>
      <family val="2"/>
    </font>
    <font>
      <b/>
      <sz val="18"/>
      <name val="TH SarabunIT๙"/>
      <family val="2"/>
    </font>
    <font>
      <b/>
      <sz val="18"/>
      <color rgb="FF0000FF"/>
      <name val="TH SarabunIT๙"/>
      <family val="2"/>
    </font>
    <font>
      <sz val="18"/>
      <color rgb="FFCC00FF"/>
      <name val="Calibri"/>
      <family val="2"/>
      <charset val="222"/>
      <scheme val="minor"/>
    </font>
    <font>
      <sz val="11"/>
      <color rgb="FF0000FF"/>
      <name val="Calibri"/>
      <family val="2"/>
      <scheme val="minor"/>
    </font>
    <font>
      <b/>
      <sz val="12"/>
      <color rgb="FFC00000"/>
      <name val="Calibri"/>
      <family val="2"/>
      <scheme val="minor"/>
    </font>
    <font>
      <sz val="11"/>
      <color rgb="FFC00000"/>
      <name val="Calibri"/>
      <family val="2"/>
      <scheme val="minor"/>
    </font>
  </fonts>
  <fills count="1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DF0E9"/>
        <bgColor indexed="64"/>
      </patternFill>
    </fill>
    <fill>
      <patternFill patternType="solid">
        <fgColor rgb="FFFFCCFF"/>
        <bgColor indexed="64"/>
      </patternFill>
    </fill>
  </fills>
  <borders count="67">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rgb="FF000000"/>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rgb="FF000000"/>
      </left>
      <right/>
      <top/>
      <bottom style="medium">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164" fontId="25" fillId="0" borderId="0" applyFont="0" applyFill="0" applyBorder="0" applyAlignment="0" applyProtection="0"/>
  </cellStyleXfs>
  <cellXfs count="492">
    <xf numFmtId="0" fontId="0" fillId="0" borderId="0" xfId="0"/>
    <xf numFmtId="0" fontId="0" fillId="0" borderId="0" xfId="0" applyAlignment="1">
      <alignment horizontal="right"/>
    </xf>
    <xf numFmtId="0" fontId="16" fillId="4" borderId="24"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8" fillId="2" borderId="30" xfId="0" applyFont="1" applyFill="1" applyBorder="1" applyAlignment="1">
      <alignment vertical="center" wrapText="1"/>
    </xf>
    <xf numFmtId="0" fontId="16" fillId="4" borderId="37"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21" fillId="0" borderId="0" xfId="0" applyFont="1"/>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22" fillId="0" borderId="0" xfId="0" applyFont="1" applyAlignment="1">
      <alignment horizontal="center" vertical="center"/>
    </xf>
    <xf numFmtId="2" fontId="18" fillId="4" borderId="14" xfId="0" applyNumberFormat="1" applyFont="1" applyFill="1" applyBorder="1" applyAlignment="1">
      <alignment horizontal="center" vertical="center" wrapText="1"/>
    </xf>
    <xf numFmtId="2" fontId="18" fillId="4" borderId="16" xfId="0" applyNumberFormat="1" applyFont="1" applyFill="1" applyBorder="1" applyAlignment="1">
      <alignment horizontal="center" vertical="center" wrapText="1"/>
    </xf>
    <xf numFmtId="2" fontId="18" fillId="4" borderId="20" xfId="0" applyNumberFormat="1" applyFont="1" applyFill="1" applyBorder="1" applyAlignment="1">
      <alignment horizontal="center" vertical="center" wrapText="1"/>
    </xf>
    <xf numFmtId="0" fontId="18" fillId="3" borderId="22" xfId="0" applyFont="1" applyFill="1" applyBorder="1" applyAlignment="1">
      <alignment horizontal="center" vertical="center" wrapText="1"/>
    </xf>
    <xf numFmtId="2" fontId="18" fillId="4" borderId="23" xfId="0" applyNumberFormat="1" applyFont="1" applyFill="1" applyBorder="1" applyAlignment="1">
      <alignment horizontal="center" vertical="center" wrapText="1"/>
    </xf>
    <xf numFmtId="0" fontId="16" fillId="4" borderId="43"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8" fillId="5" borderId="30" xfId="0" applyFont="1" applyFill="1" applyBorder="1" applyAlignment="1">
      <alignment vertical="center" wrapText="1"/>
    </xf>
    <xf numFmtId="0" fontId="0" fillId="5" borderId="26" xfId="0" applyFill="1" applyBorder="1" applyAlignment="1">
      <alignment vertical="top" wrapText="1"/>
    </xf>
    <xf numFmtId="0" fontId="18" fillId="5" borderId="21"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19" fillId="5" borderId="39" xfId="0" applyFont="1" applyFill="1" applyBorder="1" applyAlignment="1">
      <alignment horizontal="center" vertical="center" wrapText="1"/>
    </xf>
    <xf numFmtId="0" fontId="18" fillId="5" borderId="39" xfId="0" applyFont="1" applyFill="1" applyBorder="1" applyAlignment="1">
      <alignment horizontal="center" vertical="center" wrapText="1"/>
    </xf>
    <xf numFmtId="0" fontId="19" fillId="5" borderId="7" xfId="0" applyFont="1" applyFill="1" applyBorder="1" applyAlignment="1">
      <alignment horizontal="center" vertical="center" wrapText="1"/>
    </xf>
    <xf numFmtId="2" fontId="18" fillId="4" borderId="17" xfId="0" applyNumberFormat="1" applyFont="1" applyFill="1" applyBorder="1" applyAlignment="1">
      <alignment horizontal="center" vertical="center" wrapText="1"/>
    </xf>
    <xf numFmtId="0" fontId="24" fillId="4" borderId="36" xfId="0" applyFont="1" applyFill="1" applyBorder="1" applyAlignment="1">
      <alignment horizontal="left" vertical="center" wrapText="1"/>
    </xf>
    <xf numFmtId="0" fontId="24" fillId="4" borderId="24" xfId="0" applyFont="1" applyFill="1" applyBorder="1" applyAlignment="1">
      <alignment horizontal="left" vertical="center" wrapText="1"/>
    </xf>
    <xf numFmtId="0" fontId="24" fillId="4" borderId="37" xfId="0" applyFont="1" applyFill="1" applyBorder="1" applyAlignment="1">
      <alignment horizontal="left" vertical="center" wrapText="1"/>
    </xf>
    <xf numFmtId="2" fontId="30" fillId="4" borderId="43" xfId="0" applyNumberFormat="1" applyFont="1" applyFill="1" applyBorder="1" applyAlignment="1">
      <alignment horizontal="center" vertical="center" wrapText="1"/>
    </xf>
    <xf numFmtId="2" fontId="30" fillId="4" borderId="24" xfId="0" applyNumberFormat="1" applyFont="1" applyFill="1" applyBorder="1" applyAlignment="1">
      <alignment horizontal="center" vertical="center" wrapText="1"/>
    </xf>
    <xf numFmtId="2" fontId="30" fillId="4" borderId="37" xfId="0" applyNumberFormat="1" applyFont="1" applyFill="1" applyBorder="1" applyAlignment="1">
      <alignment horizontal="center" vertical="center" wrapText="1"/>
    </xf>
    <xf numFmtId="0" fontId="29" fillId="2" borderId="39" xfId="0" applyFont="1" applyFill="1" applyBorder="1" applyAlignment="1">
      <alignment horizontal="center" vertical="center" wrapText="1"/>
    </xf>
    <xf numFmtId="0" fontId="29" fillId="2" borderId="7" xfId="0" applyFont="1" applyFill="1" applyBorder="1" applyAlignment="1">
      <alignment horizontal="center" vertical="center" wrapText="1"/>
    </xf>
    <xf numFmtId="2" fontId="33" fillId="4" borderId="43" xfId="0" applyNumberFormat="1" applyFont="1" applyFill="1" applyBorder="1" applyAlignment="1">
      <alignment horizontal="center" vertical="center" wrapText="1"/>
    </xf>
    <xf numFmtId="2" fontId="33" fillId="4" borderId="24" xfId="0" applyNumberFormat="1" applyFont="1" applyFill="1" applyBorder="1" applyAlignment="1">
      <alignment horizontal="center" vertical="center" wrapText="1"/>
    </xf>
    <xf numFmtId="2" fontId="33" fillId="4" borderId="37" xfId="0" applyNumberFormat="1" applyFont="1" applyFill="1" applyBorder="1" applyAlignment="1">
      <alignment horizontal="center" vertical="center" wrapText="1"/>
    </xf>
    <xf numFmtId="0" fontId="26" fillId="4" borderId="41" xfId="0" applyFont="1" applyFill="1" applyBorder="1" applyAlignment="1">
      <alignment horizontal="left" vertical="center" wrapText="1"/>
    </xf>
    <xf numFmtId="0" fontId="28" fillId="0" borderId="0" xfId="0" applyFont="1" applyAlignment="1">
      <alignment horizontal="right" vertical="center"/>
    </xf>
    <xf numFmtId="2" fontId="29" fillId="8" borderId="24" xfId="0" applyNumberFormat="1" applyFont="1" applyFill="1" applyBorder="1" applyAlignment="1" applyProtection="1">
      <alignment horizontal="right" vertical="center"/>
      <protection locked="0"/>
    </xf>
    <xf numFmtId="0" fontId="29" fillId="7" borderId="24" xfId="0" applyFont="1" applyFill="1" applyBorder="1" applyAlignment="1" applyProtection="1">
      <alignment horizontal="right" vertical="center"/>
      <protection locked="0"/>
    </xf>
    <xf numFmtId="2" fontId="39" fillId="4" borderId="43" xfId="0" applyNumberFormat="1" applyFont="1" applyFill="1" applyBorder="1" applyAlignment="1">
      <alignment horizontal="center" vertical="center" wrapText="1"/>
    </xf>
    <xf numFmtId="2" fontId="39" fillId="4" borderId="24" xfId="0" applyNumberFormat="1" applyFont="1" applyFill="1" applyBorder="1" applyAlignment="1">
      <alignment horizontal="center" vertical="center" wrapText="1"/>
    </xf>
    <xf numFmtId="2" fontId="39" fillId="4" borderId="37" xfId="0" applyNumberFormat="1"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41" fillId="0" borderId="0" xfId="0" applyFont="1" applyAlignment="1">
      <alignment vertical="center"/>
    </xf>
    <xf numFmtId="0" fontId="42" fillId="0" borderId="0" xfId="0" applyFont="1"/>
    <xf numFmtId="0" fontId="38" fillId="0" borderId="0" xfId="0" applyFont="1"/>
    <xf numFmtId="0" fontId="37" fillId="0" borderId="0" xfId="0" applyFont="1"/>
    <xf numFmtId="0" fontId="35" fillId="0" borderId="0" xfId="0" applyFont="1"/>
    <xf numFmtId="2" fontId="9" fillId="0" borderId="49" xfId="0" applyNumberFormat="1" applyFont="1" applyBorder="1" applyAlignment="1" applyProtection="1">
      <alignment vertical="center" wrapText="1"/>
      <protection locked="0"/>
    </xf>
    <xf numFmtId="0" fontId="9" fillId="0" borderId="49" xfId="0" applyFont="1" applyBorder="1" applyAlignment="1" applyProtection="1">
      <alignment horizontal="right" vertical="center" wrapText="1"/>
      <protection locked="0"/>
    </xf>
    <xf numFmtId="0" fontId="0" fillId="9" borderId="6" xfId="0" applyFill="1" applyBorder="1"/>
    <xf numFmtId="0" fontId="0" fillId="9" borderId="8" xfId="0" applyFill="1" applyBorder="1"/>
    <xf numFmtId="0" fontId="16" fillId="4" borderId="51"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37"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14" fillId="4" borderId="41" xfId="0" applyFont="1" applyFill="1" applyBorder="1" applyAlignment="1">
      <alignment horizontal="center" vertical="top" wrapText="1"/>
    </xf>
    <xf numFmtId="0" fontId="0" fillId="3" borderId="6" xfId="0" applyFill="1" applyBorder="1"/>
    <xf numFmtId="0" fontId="0" fillId="3" borderId="8" xfId="0" applyFill="1" applyBorder="1"/>
    <xf numFmtId="0" fontId="0" fillId="12" borderId="6" xfId="0" applyFill="1" applyBorder="1"/>
    <xf numFmtId="0" fontId="0" fillId="12" borderId="8" xfId="0" applyFill="1" applyBorder="1"/>
    <xf numFmtId="0" fontId="3" fillId="4" borderId="8" xfId="0" applyFont="1" applyFill="1" applyBorder="1" applyAlignment="1">
      <alignment horizontal="center" vertical="top" wrapText="1"/>
    </xf>
    <xf numFmtId="0" fontId="46" fillId="4" borderId="41" xfId="0" applyFont="1" applyFill="1" applyBorder="1" applyAlignment="1">
      <alignment horizontal="center" vertical="top" wrapText="1"/>
    </xf>
    <xf numFmtId="0" fontId="41" fillId="5" borderId="0" xfId="0" applyFont="1" applyFill="1" applyAlignment="1">
      <alignment vertical="center"/>
    </xf>
    <xf numFmtId="0" fontId="0" fillId="5" borderId="14" xfId="0" applyFill="1" applyBorder="1"/>
    <xf numFmtId="0" fontId="0" fillId="13" borderId="14" xfId="0" applyFill="1" applyBorder="1" applyProtection="1">
      <protection locked="0"/>
    </xf>
    <xf numFmtId="2" fontId="0" fillId="0" borderId="14" xfId="0" applyNumberFormat="1" applyBorder="1"/>
    <xf numFmtId="165" fontId="0" fillId="13" borderId="14" xfId="1" applyNumberFormat="1" applyFont="1" applyFill="1" applyBorder="1" applyProtection="1">
      <protection locked="0"/>
    </xf>
    <xf numFmtId="165" fontId="0" fillId="13" borderId="14" xfId="1" applyNumberFormat="1" applyFont="1" applyFill="1" applyBorder="1" applyProtection="1"/>
    <xf numFmtId="0" fontId="41" fillId="10" borderId="0" xfId="0" applyFont="1" applyFill="1" applyAlignment="1">
      <alignment vertical="center"/>
    </xf>
    <xf numFmtId="0" fontId="0" fillId="10" borderId="14" xfId="0" applyFill="1" applyBorder="1"/>
    <xf numFmtId="0" fontId="41" fillId="6" borderId="0" xfId="0" applyFont="1" applyFill="1" applyAlignment="1">
      <alignment vertical="center"/>
    </xf>
    <xf numFmtId="0" fontId="0" fillId="6" borderId="14" xfId="0" applyFill="1" applyBorder="1"/>
    <xf numFmtId="0" fontId="0" fillId="3" borderId="14" xfId="0" applyFill="1" applyBorder="1"/>
    <xf numFmtId="2" fontId="0" fillId="13" borderId="14" xfId="0" applyNumberFormat="1" applyFill="1" applyBorder="1" applyProtection="1">
      <protection locked="0"/>
    </xf>
    <xf numFmtId="0" fontId="41" fillId="14" borderId="0" xfId="0" applyFont="1" applyFill="1" applyAlignment="1">
      <alignment vertical="center"/>
    </xf>
    <xf numFmtId="0" fontId="0" fillId="14" borderId="14" xfId="0" applyFill="1" applyBorder="1"/>
    <xf numFmtId="0" fontId="49" fillId="0" borderId="0" xfId="0" applyFont="1" applyAlignment="1">
      <alignment vertical="center"/>
    </xf>
    <xf numFmtId="0" fontId="3" fillId="2" borderId="51" xfId="0" applyFont="1" applyFill="1" applyBorder="1" applyAlignment="1">
      <alignment horizontal="center" vertical="center" wrapText="1"/>
    </xf>
    <xf numFmtId="0" fontId="3" fillId="13" borderId="40" xfId="0" applyFont="1" applyFill="1" applyBorder="1" applyAlignment="1">
      <alignment vertical="center" wrapText="1"/>
    </xf>
    <xf numFmtId="0" fontId="2" fillId="0" borderId="40" xfId="0" applyFont="1" applyBorder="1" applyAlignment="1">
      <alignment horizontal="left" vertical="center" wrapText="1" indent="1"/>
    </xf>
    <xf numFmtId="0" fontId="5" fillId="0" borderId="40" xfId="0" applyFont="1" applyBorder="1" applyAlignment="1">
      <alignment horizontal="left" vertical="center" wrapText="1" indent="1"/>
    </xf>
    <xf numFmtId="0" fontId="3" fillId="13" borderId="40" xfId="0" applyFont="1" applyFill="1" applyBorder="1" applyAlignment="1">
      <alignment horizontal="justify" vertical="center" wrapText="1"/>
    </xf>
    <xf numFmtId="0" fontId="7" fillId="0" borderId="40" xfId="0" applyFont="1" applyBorder="1" applyAlignment="1">
      <alignment horizontal="left" vertical="center" wrapText="1" indent="1"/>
    </xf>
    <xf numFmtId="0" fontId="5" fillId="0" borderId="40" xfId="0" applyFont="1" applyBorder="1"/>
    <xf numFmtId="0" fontId="28" fillId="13" borderId="49" xfId="0" applyFont="1" applyFill="1" applyBorder="1" applyAlignment="1">
      <alignment horizontal="right" vertical="center"/>
    </xf>
    <xf numFmtId="2" fontId="1" fillId="8" borderId="49" xfId="0" applyNumberFormat="1" applyFont="1" applyFill="1" applyBorder="1" applyAlignment="1">
      <alignment horizontal="right" vertical="center"/>
    </xf>
    <xf numFmtId="2" fontId="1" fillId="13" borderId="49" xfId="0" applyNumberFormat="1" applyFont="1" applyFill="1" applyBorder="1" applyAlignment="1">
      <alignment horizontal="right" vertical="center"/>
    </xf>
    <xf numFmtId="2" fontId="1" fillId="13" borderId="49" xfId="0" applyNumberFormat="1" applyFont="1" applyFill="1" applyBorder="1" applyAlignment="1">
      <alignment horizontal="right" vertical="center" wrapText="1"/>
    </xf>
    <xf numFmtId="0" fontId="1" fillId="13" borderId="49" xfId="0" applyFont="1" applyFill="1" applyBorder="1" applyAlignment="1">
      <alignment horizontal="right" vertical="center" wrapText="1"/>
    </xf>
    <xf numFmtId="0" fontId="1" fillId="8" borderId="49" xfId="0" applyFont="1" applyFill="1" applyBorder="1" applyAlignment="1">
      <alignment horizontal="right" vertical="center"/>
    </xf>
    <xf numFmtId="0" fontId="28" fillId="13" borderId="24" xfId="0" applyFont="1" applyFill="1" applyBorder="1" applyAlignment="1">
      <alignment horizontal="right" vertical="center"/>
    </xf>
    <xf numFmtId="2" fontId="1" fillId="8" borderId="24" xfId="0" applyNumberFormat="1" applyFont="1" applyFill="1" applyBorder="1" applyAlignment="1">
      <alignment horizontal="right" vertical="center"/>
    </xf>
    <xf numFmtId="2" fontId="1" fillId="13" borderId="24" xfId="0" applyNumberFormat="1" applyFont="1" applyFill="1" applyBorder="1" applyAlignment="1">
      <alignment horizontal="right" vertical="center"/>
    </xf>
    <xf numFmtId="2" fontId="1" fillId="5" borderId="24" xfId="0" applyNumberFormat="1" applyFont="1" applyFill="1" applyBorder="1" applyAlignment="1">
      <alignment horizontal="right" vertical="center"/>
    </xf>
    <xf numFmtId="2" fontId="1" fillId="10" borderId="24" xfId="0" applyNumberFormat="1" applyFont="1" applyFill="1" applyBorder="1" applyAlignment="1">
      <alignment horizontal="right" vertical="center"/>
    </xf>
    <xf numFmtId="2" fontId="1" fillId="13" borderId="24" xfId="0" applyNumberFormat="1" applyFont="1" applyFill="1" applyBorder="1" applyAlignment="1">
      <alignment horizontal="right" vertical="center" wrapText="1"/>
    </xf>
    <xf numFmtId="0" fontId="1" fillId="13" borderId="24" xfId="0" applyFont="1" applyFill="1" applyBorder="1" applyAlignment="1">
      <alignment horizontal="right" vertical="center" wrapText="1"/>
    </xf>
    <xf numFmtId="0" fontId="1" fillId="8" borderId="24" xfId="0" applyFont="1" applyFill="1" applyBorder="1" applyAlignment="1" applyProtection="1">
      <alignment horizontal="right" vertical="center"/>
      <protection locked="0"/>
    </xf>
    <xf numFmtId="0" fontId="28" fillId="13" borderId="24" xfId="0" applyFont="1" applyFill="1" applyBorder="1" applyAlignment="1">
      <alignment horizontal="right" vertical="center" wrapText="1"/>
    </xf>
    <xf numFmtId="0" fontId="28" fillId="13" borderId="49" xfId="0" applyFont="1" applyFill="1" applyBorder="1" applyAlignment="1">
      <alignment horizontal="right" vertical="center" wrapText="1"/>
    </xf>
    <xf numFmtId="0" fontId="4" fillId="13" borderId="40" xfId="0" applyFont="1" applyFill="1" applyBorder="1"/>
    <xf numFmtId="0" fontId="1" fillId="13" borderId="24" xfId="0" applyFont="1" applyFill="1" applyBorder="1" applyAlignment="1">
      <alignment horizontal="right" vertical="center"/>
    </xf>
    <xf numFmtId="0" fontId="1" fillId="13" borderId="49" xfId="0" applyFont="1" applyFill="1" applyBorder="1" applyAlignment="1">
      <alignment horizontal="right" vertical="center"/>
    </xf>
    <xf numFmtId="0" fontId="4" fillId="13" borderId="40" xfId="0" applyFont="1" applyFill="1" applyBorder="1" applyAlignment="1">
      <alignment vertical="center" wrapText="1"/>
    </xf>
    <xf numFmtId="0" fontId="2" fillId="8" borderId="49" xfId="0" applyFont="1" applyFill="1" applyBorder="1" applyAlignment="1" applyProtection="1">
      <alignment horizontal="left" vertical="center"/>
      <protection locked="0"/>
    </xf>
    <xf numFmtId="2" fontId="1" fillId="6" borderId="24" xfId="0" applyNumberFormat="1" applyFont="1" applyFill="1" applyBorder="1" applyAlignment="1">
      <alignment horizontal="right" vertical="center"/>
    </xf>
    <xf numFmtId="2" fontId="1" fillId="14" borderId="24" xfId="0" applyNumberFormat="1" applyFont="1" applyFill="1" applyBorder="1" applyAlignment="1">
      <alignment horizontal="right" vertical="center"/>
    </xf>
    <xf numFmtId="2" fontId="1" fillId="8" borderId="24" xfId="0" applyNumberFormat="1" applyFont="1" applyFill="1" applyBorder="1" applyAlignment="1" applyProtection="1">
      <alignment horizontal="right" vertical="center"/>
      <protection locked="0"/>
    </xf>
    <xf numFmtId="0" fontId="5" fillId="0" borderId="42" xfId="0" applyFont="1" applyBorder="1"/>
    <xf numFmtId="2" fontId="1" fillId="14" borderId="37" xfId="0" applyNumberFormat="1" applyFont="1" applyFill="1" applyBorder="1" applyAlignment="1">
      <alignment horizontal="right" vertical="center"/>
    </xf>
    <xf numFmtId="0" fontId="39" fillId="2" borderId="36" xfId="0" applyFont="1" applyFill="1" applyBorder="1" applyAlignment="1">
      <alignment horizontal="center" vertical="center" wrapText="1"/>
    </xf>
    <xf numFmtId="0" fontId="39" fillId="2" borderId="41" xfId="0" applyFont="1" applyFill="1" applyBorder="1" applyAlignment="1">
      <alignment horizontal="center" vertical="center" wrapText="1"/>
    </xf>
    <xf numFmtId="0" fontId="33" fillId="4" borderId="15" xfId="0" applyFont="1" applyFill="1" applyBorder="1" applyAlignment="1">
      <alignment horizontal="center" vertical="top" wrapText="1"/>
    </xf>
    <xf numFmtId="0" fontId="33" fillId="4" borderId="8" xfId="0" applyFont="1" applyFill="1" applyBorder="1" applyAlignment="1">
      <alignment horizontal="center" vertical="top" wrapText="1"/>
    </xf>
    <xf numFmtId="0" fontId="54" fillId="4" borderId="36" xfId="0" applyFont="1" applyFill="1" applyBorder="1" applyAlignment="1">
      <alignment horizontal="center" vertical="center" wrapText="1"/>
    </xf>
    <xf numFmtId="0" fontId="54" fillId="4" borderId="24" xfId="0" applyFont="1" applyFill="1" applyBorder="1" applyAlignment="1">
      <alignment horizontal="center" vertical="center" wrapText="1"/>
    </xf>
    <xf numFmtId="0" fontId="54" fillId="4" borderId="37" xfId="0" applyFont="1" applyFill="1" applyBorder="1" applyAlignment="1">
      <alignment horizontal="center" vertical="center" wrapText="1"/>
    </xf>
    <xf numFmtId="2" fontId="51" fillId="4" borderId="17" xfId="0" applyNumberFormat="1" applyFont="1" applyFill="1" applyBorder="1" applyAlignment="1">
      <alignment horizontal="center" vertical="center" wrapText="1"/>
    </xf>
    <xf numFmtId="2" fontId="51" fillId="4" borderId="16" xfId="0" applyNumberFormat="1" applyFont="1" applyFill="1" applyBorder="1" applyAlignment="1">
      <alignment horizontal="center" vertical="center" wrapText="1"/>
    </xf>
    <xf numFmtId="2" fontId="23" fillId="4" borderId="24" xfId="0" applyNumberFormat="1" applyFont="1" applyFill="1" applyBorder="1" applyAlignment="1">
      <alignment horizontal="center" vertical="center" wrapText="1"/>
    </xf>
    <xf numFmtId="2" fontId="52" fillId="4" borderId="23" xfId="0" applyNumberFormat="1" applyFont="1" applyFill="1" applyBorder="1" applyAlignment="1">
      <alignment horizontal="center" vertical="center" wrapText="1"/>
    </xf>
    <xf numFmtId="2" fontId="55" fillId="4" borderId="43" xfId="0" applyNumberFormat="1" applyFont="1" applyFill="1" applyBorder="1" applyAlignment="1">
      <alignment horizontal="center" vertical="center" wrapText="1"/>
    </xf>
    <xf numFmtId="2" fontId="52" fillId="4" borderId="16" xfId="0" applyNumberFormat="1" applyFont="1" applyFill="1" applyBorder="1" applyAlignment="1">
      <alignment horizontal="center" vertical="center" wrapText="1"/>
    </xf>
    <xf numFmtId="2" fontId="55" fillId="4" borderId="24" xfId="0" applyNumberFormat="1" applyFont="1" applyFill="1" applyBorder="1" applyAlignment="1">
      <alignment horizontal="center" vertical="center" wrapText="1"/>
    </xf>
    <xf numFmtId="0" fontId="27" fillId="5" borderId="15" xfId="0" applyFont="1" applyFill="1" applyBorder="1" applyAlignment="1">
      <alignment horizontal="center" vertical="center" wrapText="1"/>
    </xf>
    <xf numFmtId="0" fontId="51" fillId="4" borderId="51" xfId="0" applyFont="1" applyFill="1" applyBorder="1" applyAlignment="1">
      <alignment horizontal="center" vertical="center" wrapText="1"/>
    </xf>
    <xf numFmtId="0" fontId="51" fillId="4" borderId="40" xfId="0" applyFont="1" applyFill="1" applyBorder="1" applyAlignment="1">
      <alignment horizontal="center" vertical="center" wrapText="1"/>
    </xf>
    <xf numFmtId="0" fontId="51" fillId="4" borderId="42" xfId="0" applyFont="1" applyFill="1" applyBorder="1" applyAlignment="1">
      <alignment horizontal="center" vertical="center" wrapText="1"/>
    </xf>
    <xf numFmtId="2" fontId="9" fillId="8" borderId="49" xfId="0" applyNumberFormat="1" applyFont="1" applyFill="1" applyBorder="1" applyAlignment="1" applyProtection="1">
      <alignment horizontal="right" vertical="center" wrapText="1"/>
      <protection locked="0"/>
    </xf>
    <xf numFmtId="0" fontId="58" fillId="0" borderId="0" xfId="0" applyFont="1"/>
    <xf numFmtId="0" fontId="59" fillId="0" borderId="0" xfId="0" applyFont="1"/>
    <xf numFmtId="0" fontId="60" fillId="0" borderId="0" xfId="0" applyFont="1"/>
    <xf numFmtId="0" fontId="59" fillId="5" borderId="14" xfId="0" applyFont="1" applyFill="1" applyBorder="1"/>
    <xf numFmtId="0" fontId="58" fillId="5" borderId="14" xfId="0" applyFont="1" applyFill="1" applyBorder="1"/>
    <xf numFmtId="2" fontId="50" fillId="4" borderId="20" xfId="0" applyNumberFormat="1" applyFont="1" applyFill="1" applyBorder="1" applyAlignment="1">
      <alignment horizontal="center" vertical="center" wrapText="1"/>
    </xf>
    <xf numFmtId="2" fontId="63" fillId="4" borderId="24" xfId="0" applyNumberFormat="1" applyFont="1" applyFill="1" applyBorder="1" applyAlignment="1">
      <alignment horizontal="center" vertical="center" wrapText="1"/>
    </xf>
    <xf numFmtId="2" fontId="50" fillId="4" borderId="37" xfId="0" applyNumberFormat="1" applyFont="1" applyFill="1" applyBorder="1" applyAlignment="1">
      <alignment horizontal="center" vertical="center" wrapText="1"/>
    </xf>
    <xf numFmtId="0" fontId="59" fillId="11" borderId="14" xfId="0" applyFont="1" applyFill="1" applyBorder="1"/>
    <xf numFmtId="0" fontId="58" fillId="11" borderId="14" xfId="0" applyFont="1" applyFill="1" applyBorder="1"/>
    <xf numFmtId="0" fontId="0" fillId="11" borderId="14" xfId="0" applyFill="1" applyBorder="1"/>
    <xf numFmtId="0" fontId="71" fillId="11" borderId="14" xfId="0" applyFont="1" applyFill="1" applyBorder="1" applyAlignment="1">
      <alignment horizontal="center" vertical="center"/>
    </xf>
    <xf numFmtId="0" fontId="72" fillId="11" borderId="14" xfId="0" applyFont="1" applyFill="1" applyBorder="1" applyAlignment="1">
      <alignment horizontal="center" vertical="center"/>
    </xf>
    <xf numFmtId="0" fontId="66" fillId="0" borderId="0" xfId="0" applyFont="1"/>
    <xf numFmtId="0" fontId="3" fillId="5" borderId="59" xfId="0" applyFont="1" applyFill="1" applyBorder="1" applyAlignment="1">
      <alignment vertical="center" wrapText="1"/>
    </xf>
    <xf numFmtId="0" fontId="60" fillId="5" borderId="58" xfId="0" applyFont="1" applyFill="1" applyBorder="1"/>
    <xf numFmtId="0" fontId="7" fillId="11" borderId="59" xfId="0" applyFont="1" applyFill="1" applyBorder="1" applyAlignment="1">
      <alignment horizontal="left" vertical="center" wrapText="1" indent="1"/>
    </xf>
    <xf numFmtId="0" fontId="60" fillId="11" borderId="58" xfId="0" applyFont="1" applyFill="1" applyBorder="1"/>
    <xf numFmtId="0" fontId="61" fillId="0" borderId="59" xfId="0" applyFont="1" applyBorder="1" applyAlignment="1">
      <alignment horizontal="left" vertical="center" wrapText="1" indent="1"/>
    </xf>
    <xf numFmtId="0" fontId="62" fillId="0" borderId="59" xfId="0" applyFont="1" applyBorder="1" applyAlignment="1">
      <alignment horizontal="left" vertical="center" wrapText="1" indent="1"/>
    </xf>
    <xf numFmtId="0" fontId="7" fillId="0" borderId="59" xfId="0" applyFont="1" applyBorder="1" applyAlignment="1">
      <alignment horizontal="left" vertical="center" wrapText="1" indent="1"/>
    </xf>
    <xf numFmtId="0" fontId="73" fillId="0" borderId="59" xfId="0" applyFont="1" applyBorder="1" applyAlignment="1">
      <alignment horizontal="left" vertical="center" wrapText="1" indent="1"/>
    </xf>
    <xf numFmtId="0" fontId="69" fillId="0" borderId="59" xfId="0" applyFont="1" applyBorder="1" applyAlignment="1">
      <alignment horizontal="left" vertical="center" wrapText="1" indent="1"/>
    </xf>
    <xf numFmtId="0" fontId="65" fillId="0" borderId="59" xfId="0" applyFont="1" applyBorder="1" applyAlignment="1">
      <alignment horizontal="left" vertical="center" wrapText="1" indent="1"/>
    </xf>
    <xf numFmtId="0" fontId="3" fillId="5" borderId="59" xfId="0" applyFont="1" applyFill="1" applyBorder="1" applyAlignment="1">
      <alignment horizontal="justify" vertical="center" wrapText="1"/>
    </xf>
    <xf numFmtId="0" fontId="4" fillId="5" borderId="59" xfId="0" applyFont="1" applyFill="1" applyBorder="1" applyAlignment="1">
      <alignment vertical="center" wrapText="1"/>
    </xf>
    <xf numFmtId="0" fontId="5" fillId="0" borderId="59" xfId="0" applyFont="1" applyBorder="1" applyAlignment="1">
      <alignment horizontal="left" vertical="center" wrapText="1" indent="1"/>
    </xf>
    <xf numFmtId="0" fontId="5" fillId="0" borderId="60" xfId="0" applyFont="1" applyBorder="1" applyAlignment="1">
      <alignment horizontal="left" vertical="center" wrapText="1" indent="1"/>
    </xf>
    <xf numFmtId="0" fontId="70" fillId="11" borderId="14" xfId="0" applyFont="1" applyFill="1" applyBorder="1" applyAlignment="1">
      <alignment horizontal="center" vertical="center"/>
    </xf>
    <xf numFmtId="2" fontId="59" fillId="12" borderId="14" xfId="0" applyNumberFormat="1" applyFont="1" applyFill="1" applyBorder="1"/>
    <xf numFmtId="2" fontId="58" fillId="12" borderId="14" xfId="0" applyNumberFormat="1" applyFont="1" applyFill="1" applyBorder="1"/>
    <xf numFmtId="2" fontId="0" fillId="12" borderId="14" xfId="0" applyNumberFormat="1" applyFill="1" applyBorder="1"/>
    <xf numFmtId="0" fontId="58" fillId="3" borderId="14" xfId="0" applyFont="1" applyFill="1" applyBorder="1"/>
    <xf numFmtId="0" fontId="59" fillId="3" borderId="14" xfId="0" applyFont="1" applyFill="1" applyBorder="1"/>
    <xf numFmtId="0" fontId="60" fillId="12" borderId="58" xfId="0" applyFont="1" applyFill="1" applyBorder="1"/>
    <xf numFmtId="0" fontId="75" fillId="12" borderId="58" xfId="0" applyFont="1" applyFill="1" applyBorder="1"/>
    <xf numFmtId="0" fontId="78" fillId="0" borderId="58" xfId="0" applyFont="1" applyBorder="1"/>
    <xf numFmtId="2" fontId="66" fillId="0" borderId="14" xfId="0" applyNumberFormat="1" applyFont="1" applyBorder="1" applyProtection="1">
      <protection locked="0"/>
    </xf>
    <xf numFmtId="2" fontId="76" fillId="0" borderId="14" xfId="0" applyNumberFormat="1" applyFont="1" applyBorder="1" applyProtection="1">
      <protection locked="0"/>
    </xf>
    <xf numFmtId="2" fontId="79" fillId="11" borderId="58" xfId="0" applyNumberFormat="1" applyFont="1" applyFill="1" applyBorder="1"/>
    <xf numFmtId="2" fontId="80" fillId="5" borderId="58" xfId="0" applyNumberFormat="1" applyFont="1" applyFill="1" applyBorder="1"/>
    <xf numFmtId="2" fontId="81" fillId="5" borderId="58" xfId="0" applyNumberFormat="1" applyFont="1" applyFill="1" applyBorder="1"/>
    <xf numFmtId="2" fontId="77" fillId="0" borderId="14" xfId="0" applyNumberFormat="1" applyFont="1" applyBorder="1" applyProtection="1">
      <protection locked="0"/>
    </xf>
    <xf numFmtId="0" fontId="77" fillId="0" borderId="14" xfId="0" applyFont="1" applyBorder="1" applyProtection="1">
      <protection locked="0"/>
    </xf>
    <xf numFmtId="0" fontId="66" fillId="0" borderId="14" xfId="0" applyFont="1" applyBorder="1" applyProtection="1">
      <protection locked="0"/>
    </xf>
    <xf numFmtId="0" fontId="76" fillId="0" borderId="14" xfId="0" applyFont="1" applyBorder="1" applyProtection="1">
      <protection locked="0"/>
    </xf>
    <xf numFmtId="2" fontId="82" fillId="5" borderId="58" xfId="0" applyNumberFormat="1" applyFont="1" applyFill="1" applyBorder="1"/>
    <xf numFmtId="0" fontId="76" fillId="3" borderId="14" xfId="0" applyFont="1" applyFill="1" applyBorder="1"/>
    <xf numFmtId="0" fontId="77" fillId="3" borderId="14" xfId="0" applyFont="1" applyFill="1" applyBorder="1"/>
    <xf numFmtId="2" fontId="83" fillId="5" borderId="58" xfId="0" applyNumberFormat="1" applyFont="1" applyFill="1" applyBorder="1" applyAlignment="1">
      <alignment vertical="center"/>
    </xf>
    <xf numFmtId="0" fontId="78" fillId="12" borderId="58" xfId="0" applyFont="1" applyFill="1" applyBorder="1"/>
    <xf numFmtId="2" fontId="84" fillId="5" borderId="58" xfId="0" applyNumberFormat="1" applyFont="1" applyFill="1" applyBorder="1" applyAlignment="1">
      <alignment vertical="center"/>
    </xf>
    <xf numFmtId="0" fontId="76" fillId="12" borderId="58" xfId="0" applyFont="1" applyFill="1" applyBorder="1"/>
    <xf numFmtId="0" fontId="66" fillId="3" borderId="14" xfId="0" applyFont="1" applyFill="1" applyBorder="1"/>
    <xf numFmtId="2" fontId="85" fillId="5" borderId="58" xfId="0" applyNumberFormat="1" applyFont="1" applyFill="1" applyBorder="1" applyAlignment="1">
      <alignment vertical="center"/>
    </xf>
    <xf numFmtId="0" fontId="77" fillId="0" borderId="14" xfId="0" applyFont="1" applyBorder="1" applyAlignment="1" applyProtection="1">
      <alignment vertical="center"/>
      <protection locked="0"/>
    </xf>
    <xf numFmtId="0" fontId="77" fillId="3" borderId="0" xfId="0" applyFont="1" applyFill="1"/>
    <xf numFmtId="0" fontId="86" fillId="5" borderId="58" xfId="0" applyFont="1" applyFill="1" applyBorder="1" applyAlignment="1">
      <alignment vertical="center"/>
    </xf>
    <xf numFmtId="0" fontId="76" fillId="12" borderId="14" xfId="0" applyFont="1" applyFill="1" applyBorder="1"/>
    <xf numFmtId="0" fontId="66" fillId="12" borderId="14" xfId="0" applyFont="1" applyFill="1" applyBorder="1"/>
    <xf numFmtId="0" fontId="79" fillId="5" borderId="58" xfId="0" applyFont="1" applyFill="1" applyBorder="1"/>
    <xf numFmtId="0" fontId="79" fillId="14" borderId="58" xfId="0" applyFont="1" applyFill="1" applyBorder="1"/>
    <xf numFmtId="0" fontId="66" fillId="12" borderId="58" xfId="0" applyFont="1" applyFill="1" applyBorder="1"/>
    <xf numFmtId="0" fontId="66" fillId="0" borderId="14" xfId="0" applyFont="1" applyBorder="1" applyAlignment="1" applyProtection="1">
      <alignment vertical="center"/>
      <protection locked="0"/>
    </xf>
    <xf numFmtId="0" fontId="76" fillId="0" borderId="14" xfId="0" applyFont="1" applyBorder="1" applyAlignment="1" applyProtection="1">
      <alignment vertical="center"/>
      <protection locked="0"/>
    </xf>
    <xf numFmtId="0" fontId="78" fillId="0" borderId="58" xfId="0" applyFont="1" applyBorder="1" applyAlignment="1">
      <alignment vertical="center"/>
    </xf>
    <xf numFmtId="0" fontId="77" fillId="0" borderId="58" xfId="0" applyFont="1" applyBorder="1" applyAlignment="1">
      <alignment vertical="center"/>
    </xf>
    <xf numFmtId="0" fontId="88" fillId="0" borderId="58" xfId="0" applyFont="1" applyBorder="1" applyAlignment="1">
      <alignment vertical="center"/>
    </xf>
    <xf numFmtId="0" fontId="76" fillId="0" borderId="58" xfId="0" applyFont="1" applyBorder="1" applyAlignment="1">
      <alignment vertical="center"/>
    </xf>
    <xf numFmtId="0" fontId="78" fillId="5" borderId="58" xfId="0" applyFont="1" applyFill="1" applyBorder="1" applyAlignment="1">
      <alignment vertical="center"/>
    </xf>
    <xf numFmtId="0" fontId="0" fillId="5" borderId="0" xfId="0" applyFill="1" applyAlignment="1">
      <alignment vertical="center"/>
    </xf>
    <xf numFmtId="0" fontId="79" fillId="5" borderId="58" xfId="0" applyFont="1" applyFill="1" applyBorder="1" applyAlignment="1">
      <alignment vertical="center"/>
    </xf>
    <xf numFmtId="165" fontId="92" fillId="5" borderId="58" xfId="1" applyNumberFormat="1" applyFont="1" applyFill="1" applyBorder="1"/>
    <xf numFmtId="165" fontId="90" fillId="0" borderId="14" xfId="1" applyNumberFormat="1" applyFont="1" applyBorder="1" applyProtection="1">
      <protection locked="0"/>
    </xf>
    <xf numFmtId="165" fontId="91" fillId="0" borderId="14" xfId="1" applyNumberFormat="1" applyFont="1" applyBorder="1" applyProtection="1">
      <protection locked="0"/>
    </xf>
    <xf numFmtId="165" fontId="22" fillId="0" borderId="14" xfId="1" applyNumberFormat="1" applyFont="1" applyBorder="1" applyProtection="1">
      <protection locked="0"/>
    </xf>
    <xf numFmtId="0" fontId="79" fillId="5" borderId="14" xfId="0" applyFont="1" applyFill="1" applyBorder="1"/>
    <xf numFmtId="0" fontId="93" fillId="0" borderId="14" xfId="0" applyFont="1" applyBorder="1" applyProtection="1">
      <protection locked="0"/>
    </xf>
    <xf numFmtId="0" fontId="81" fillId="0" borderId="14" xfId="0" applyFont="1" applyBorder="1" applyProtection="1">
      <protection locked="0"/>
    </xf>
    <xf numFmtId="0" fontId="87" fillId="0" borderId="14" xfId="0" applyFont="1" applyBorder="1" applyProtection="1">
      <protection locked="0"/>
    </xf>
    <xf numFmtId="165" fontId="79" fillId="5" borderId="58" xfId="1" applyNumberFormat="1" applyFont="1" applyFill="1" applyBorder="1"/>
    <xf numFmtId="0" fontId="60" fillId="3" borderId="58" xfId="0" applyFont="1" applyFill="1" applyBorder="1"/>
    <xf numFmtId="2" fontId="9" fillId="14" borderId="49" xfId="0" applyNumberFormat="1" applyFont="1" applyFill="1" applyBorder="1" applyAlignment="1">
      <alignment horizontal="right" vertical="center" wrapText="1"/>
    </xf>
    <xf numFmtId="2" fontId="29" fillId="14" borderId="24" xfId="0" applyNumberFormat="1" applyFont="1" applyFill="1" applyBorder="1" applyAlignment="1">
      <alignment horizontal="right" vertical="center"/>
    </xf>
    <xf numFmtId="0" fontId="74" fillId="0" borderId="0" xfId="0" applyFont="1" applyAlignment="1">
      <alignment vertical="center"/>
    </xf>
    <xf numFmtId="2" fontId="28" fillId="5" borderId="24" xfId="0" applyNumberFormat="1" applyFont="1" applyFill="1" applyBorder="1" applyAlignment="1">
      <alignment horizontal="right" vertical="center"/>
    </xf>
    <xf numFmtId="2" fontId="33" fillId="5" borderId="24" xfId="0" applyNumberFormat="1" applyFont="1" applyFill="1" applyBorder="1" applyAlignment="1">
      <alignment horizontal="right" vertical="center"/>
    </xf>
    <xf numFmtId="0" fontId="74" fillId="14" borderId="0" xfId="0" applyFont="1" applyFill="1" applyAlignment="1">
      <alignment vertical="center"/>
    </xf>
    <xf numFmtId="0" fontId="95" fillId="11" borderId="59" xfId="0" applyFont="1" applyFill="1" applyBorder="1" applyAlignment="1">
      <alignment horizontal="left" vertical="center" wrapText="1" indent="1"/>
    </xf>
    <xf numFmtId="0" fontId="6" fillId="11" borderId="9" xfId="0" applyFont="1" applyFill="1" applyBorder="1" applyAlignment="1">
      <alignment horizontal="center" vertical="center" wrapText="1"/>
    </xf>
    <xf numFmtId="0" fontId="12" fillId="11" borderId="11" xfId="0" applyFont="1" applyFill="1" applyBorder="1" applyAlignment="1">
      <alignment horizontal="center" vertical="center" wrapText="1"/>
    </xf>
    <xf numFmtId="0" fontId="32" fillId="11" borderId="9"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12" fillId="11" borderId="45" xfId="0" applyFont="1" applyFill="1" applyBorder="1" applyAlignment="1">
      <alignment horizontal="center" vertical="center" wrapText="1"/>
    </xf>
    <xf numFmtId="0" fontId="32" fillId="11" borderId="1" xfId="0" applyFont="1" applyFill="1" applyBorder="1" applyAlignment="1">
      <alignment horizontal="center" vertical="center" wrapText="1"/>
    </xf>
    <xf numFmtId="0" fontId="7" fillId="0" borderId="14" xfId="0" applyFont="1" applyBorder="1" applyAlignment="1">
      <alignment horizontal="left" vertical="center" wrapText="1" indent="1"/>
    </xf>
    <xf numFmtId="0" fontId="0" fillId="5" borderId="14" xfId="0" applyFill="1" applyBorder="1" applyAlignment="1">
      <alignment horizontal="center" vertical="center"/>
    </xf>
    <xf numFmtId="0" fontId="0" fillId="8" borderId="0" xfId="0" applyFill="1"/>
    <xf numFmtId="0" fontId="5" fillId="0" borderId="19" xfId="0" applyFont="1" applyBorder="1" applyAlignment="1">
      <alignment horizontal="left" vertical="center" wrapText="1" indent="1"/>
    </xf>
    <xf numFmtId="0" fontId="1" fillId="0" borderId="0" xfId="0" applyFont="1" applyProtection="1">
      <protection locked="0"/>
    </xf>
    <xf numFmtId="0" fontId="0" fillId="0" borderId="0" xfId="0" applyAlignment="1">
      <alignmen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center" vertical="top"/>
    </xf>
    <xf numFmtId="0" fontId="96" fillId="0" borderId="0" xfId="0" applyFont="1" applyAlignment="1">
      <alignment horizontal="left" vertical="center" wrapText="1"/>
    </xf>
    <xf numFmtId="0" fontId="58" fillId="0" borderId="0" xfId="0" applyFont="1" applyAlignment="1">
      <alignment horizontal="center" vertical="center"/>
    </xf>
    <xf numFmtId="0" fontId="58" fillId="0" borderId="0" xfId="0" applyFont="1" applyAlignment="1">
      <alignment horizontal="left" vertical="center" wrapText="1"/>
    </xf>
    <xf numFmtId="0" fontId="71" fillId="0" borderId="59" xfId="0" applyFont="1" applyBorder="1" applyAlignment="1">
      <alignment horizontal="left" vertical="center" wrapText="1" indent="1"/>
    </xf>
    <xf numFmtId="0" fontId="89" fillId="14" borderId="58" xfId="0" applyFont="1" applyFill="1" applyBorder="1" applyAlignment="1" applyProtection="1">
      <alignment vertical="center"/>
      <protection locked="0"/>
    </xf>
    <xf numFmtId="0" fontId="81" fillId="14" borderId="58" xfId="0" applyFont="1" applyFill="1" applyBorder="1" applyAlignment="1" applyProtection="1">
      <alignment vertical="center"/>
      <protection locked="0"/>
    </xf>
    <xf numFmtId="0" fontId="87" fillId="14" borderId="58" xfId="0" applyFont="1" applyFill="1" applyBorder="1" applyAlignment="1" applyProtection="1">
      <alignment vertical="center"/>
      <protection locked="0"/>
    </xf>
    <xf numFmtId="165" fontId="93" fillId="14" borderId="14" xfId="1" applyNumberFormat="1" applyFont="1" applyFill="1" applyBorder="1" applyProtection="1">
      <protection locked="0"/>
    </xf>
    <xf numFmtId="165" fontId="81" fillId="14" borderId="14" xfId="1" applyNumberFormat="1" applyFont="1" applyFill="1" applyBorder="1" applyProtection="1">
      <protection locked="0"/>
    </xf>
    <xf numFmtId="165" fontId="87" fillId="14" borderId="14" xfId="1" applyNumberFormat="1" applyFont="1" applyFill="1" applyBorder="1" applyProtection="1">
      <protection locked="0"/>
    </xf>
    <xf numFmtId="0" fontId="93" fillId="14" borderId="14" xfId="0" applyFont="1" applyFill="1" applyBorder="1"/>
    <xf numFmtId="0" fontId="81" fillId="14" borderId="14" xfId="0" applyFont="1" applyFill="1" applyBorder="1"/>
    <xf numFmtId="0" fontId="87" fillId="14" borderId="14" xfId="0" applyFont="1" applyFill="1" applyBorder="1"/>
    <xf numFmtId="0" fontId="93" fillId="14" borderId="14" xfId="0" applyFont="1" applyFill="1" applyBorder="1" applyProtection="1">
      <protection locked="0"/>
    </xf>
    <xf numFmtId="0" fontId="81" fillId="14" borderId="14" xfId="0" applyFont="1" applyFill="1" applyBorder="1" applyProtection="1">
      <protection locked="0"/>
    </xf>
    <xf numFmtId="0" fontId="87" fillId="14" borderId="14" xfId="0" applyFont="1" applyFill="1" applyBorder="1" applyProtection="1">
      <protection locked="0"/>
    </xf>
    <xf numFmtId="0" fontId="11" fillId="11" borderId="6" xfId="0" applyFont="1" applyFill="1" applyBorder="1" applyAlignment="1">
      <alignment horizontal="right" vertical="center" wrapText="1"/>
    </xf>
    <xf numFmtId="2" fontId="15" fillId="11" borderId="15" xfId="0" applyNumberFormat="1" applyFont="1" applyFill="1" applyBorder="1" applyAlignment="1">
      <alignment horizontal="right" vertical="center" wrapText="1"/>
    </xf>
    <xf numFmtId="2" fontId="37" fillId="11" borderId="7" xfId="0" applyNumberFormat="1" applyFont="1" applyFill="1" applyBorder="1" applyAlignment="1">
      <alignment horizontal="right" vertical="center" wrapText="1"/>
    </xf>
    <xf numFmtId="2" fontId="29" fillId="5" borderId="24" xfId="0" applyNumberFormat="1" applyFont="1" applyFill="1" applyBorder="1" applyAlignment="1">
      <alignment horizontal="right" vertical="center"/>
    </xf>
    <xf numFmtId="2" fontId="63" fillId="11" borderId="15" xfId="0" applyNumberFormat="1" applyFont="1" applyFill="1" applyBorder="1" applyAlignment="1">
      <alignment horizontal="right" vertical="center" wrapText="1"/>
    </xf>
    <xf numFmtId="2" fontId="37" fillId="14" borderId="47" xfId="0" applyNumberFormat="1" applyFont="1" applyFill="1" applyBorder="1" applyAlignment="1">
      <alignment horizontal="right" vertical="center" wrapText="1"/>
    </xf>
    <xf numFmtId="2" fontId="37" fillId="8" borderId="47" xfId="0" applyNumberFormat="1" applyFont="1" applyFill="1" applyBorder="1" applyAlignment="1" applyProtection="1">
      <alignment horizontal="right" vertical="center" wrapText="1"/>
      <protection locked="0"/>
    </xf>
    <xf numFmtId="2" fontId="37" fillId="0" borderId="47" xfId="0" applyNumberFormat="1" applyFont="1" applyBorder="1" applyAlignment="1" applyProtection="1">
      <alignment vertical="center" wrapText="1"/>
      <protection locked="0"/>
    </xf>
    <xf numFmtId="0" fontId="37" fillId="0" borderId="47" xfId="0" applyFont="1" applyBorder="1" applyAlignment="1" applyProtection="1">
      <alignment horizontal="right" vertical="center" wrapText="1"/>
      <protection locked="0"/>
    </xf>
    <xf numFmtId="0" fontId="94" fillId="5" borderId="61" xfId="0" applyFont="1" applyFill="1" applyBorder="1" applyAlignment="1">
      <alignment horizontal="center" vertical="center"/>
    </xf>
    <xf numFmtId="0" fontId="94" fillId="5" borderId="59" xfId="0" applyFont="1" applyFill="1" applyBorder="1" applyAlignment="1">
      <alignment horizontal="center" vertical="center"/>
    </xf>
    <xf numFmtId="0" fontId="94" fillId="5" borderId="60" xfId="0" applyFont="1" applyFill="1" applyBorder="1" applyAlignment="1">
      <alignment horizontal="center" vertical="center"/>
    </xf>
    <xf numFmtId="0" fontId="0" fillId="5" borderId="56" xfId="0" applyFill="1" applyBorder="1" applyAlignment="1">
      <alignment horizontal="center" vertical="center"/>
    </xf>
    <xf numFmtId="0" fontId="0" fillId="8" borderId="57" xfId="0" applyFill="1" applyBorder="1" applyAlignment="1" applyProtection="1">
      <alignment horizontal="center" vertical="center"/>
      <protection locked="0"/>
    </xf>
    <xf numFmtId="0" fontId="0" fillId="8" borderId="58" xfId="0" applyFill="1" applyBorder="1" applyAlignment="1" applyProtection="1">
      <alignment horizontal="center" vertical="center"/>
      <protection locked="0"/>
    </xf>
    <xf numFmtId="0" fontId="0" fillId="5" borderId="62" xfId="0" applyFill="1" applyBorder="1" applyAlignment="1">
      <alignment horizontal="center" vertical="center"/>
    </xf>
    <xf numFmtId="0" fontId="0" fillId="8" borderId="63" xfId="0" applyFill="1" applyBorder="1" applyAlignment="1" applyProtection="1">
      <alignment horizontal="center" vertical="center"/>
      <protection locked="0"/>
    </xf>
    <xf numFmtId="0" fontId="27" fillId="0" borderId="0" xfId="0" applyFont="1" applyAlignment="1">
      <alignment horizontal="left" vertical="center"/>
    </xf>
    <xf numFmtId="0" fontId="27" fillId="0" borderId="0" xfId="0" applyFont="1" applyAlignment="1" applyProtection="1">
      <alignment horizontal="left" vertical="center"/>
      <protection locked="0"/>
    </xf>
    <xf numFmtId="0" fontId="106" fillId="0" borderId="0" xfId="0" applyFont="1"/>
    <xf numFmtId="0" fontId="107" fillId="0" borderId="0" xfId="0" applyFont="1"/>
    <xf numFmtId="0" fontId="63" fillId="0" borderId="0" xfId="0" applyFont="1"/>
    <xf numFmtId="0" fontId="108" fillId="0" borderId="0" xfId="0" applyFont="1"/>
    <xf numFmtId="0" fontId="41" fillId="0" borderId="0" xfId="0" applyFont="1" applyAlignment="1">
      <alignment vertical="center" wrapText="1"/>
    </xf>
    <xf numFmtId="167" fontId="0" fillId="16" borderId="56" xfId="1" applyNumberFormat="1" applyFont="1" applyFill="1" applyBorder="1" applyAlignment="1" applyProtection="1">
      <alignment horizontal="right" vertical="center"/>
      <protection locked="0"/>
    </xf>
    <xf numFmtId="167" fontId="0" fillId="16" borderId="64" xfId="1" applyNumberFormat="1" applyFont="1" applyFill="1" applyBorder="1" applyAlignment="1" applyProtection="1">
      <alignment horizontal="right" vertical="center"/>
      <protection locked="0"/>
    </xf>
    <xf numFmtId="168" fontId="0" fillId="16" borderId="56" xfId="1" applyNumberFormat="1" applyFont="1" applyFill="1" applyBorder="1" applyAlignment="1" applyProtection="1">
      <alignment horizontal="right" vertical="center"/>
      <protection locked="0"/>
    </xf>
    <xf numFmtId="168" fontId="0" fillId="16" borderId="64" xfId="1" applyNumberFormat="1" applyFont="1" applyFill="1" applyBorder="1" applyAlignment="1" applyProtection="1">
      <alignment horizontal="right" vertical="center"/>
      <protection locked="0"/>
    </xf>
    <xf numFmtId="0" fontId="98" fillId="5" borderId="60" xfId="0" applyFont="1" applyFill="1" applyBorder="1" applyAlignment="1">
      <alignment horizontal="center" vertical="center"/>
    </xf>
    <xf numFmtId="0" fontId="102" fillId="5" borderId="59" xfId="0" applyFont="1" applyFill="1" applyBorder="1" applyAlignment="1">
      <alignment horizontal="center" vertical="center"/>
    </xf>
    <xf numFmtId="0" fontId="109" fillId="5" borderId="14" xfId="0" applyFont="1" applyFill="1" applyBorder="1" applyAlignment="1">
      <alignment horizontal="center" vertical="center"/>
    </xf>
    <xf numFmtId="0" fontId="110" fillId="5" borderId="61" xfId="0" applyFont="1" applyFill="1" applyBorder="1" applyAlignment="1">
      <alignment horizontal="center" vertical="center"/>
    </xf>
    <xf numFmtId="166" fontId="111" fillId="5" borderId="56" xfId="0" applyNumberFormat="1" applyFont="1" applyFill="1" applyBorder="1" applyAlignment="1">
      <alignment horizontal="right" vertical="center"/>
    </xf>
    <xf numFmtId="166" fontId="109" fillId="5" borderId="14" xfId="0" applyNumberFormat="1" applyFont="1" applyFill="1" applyBorder="1" applyAlignment="1">
      <alignment horizontal="right" vertical="center"/>
    </xf>
    <xf numFmtId="0" fontId="103" fillId="5" borderId="60" xfId="0" applyFont="1" applyFill="1" applyBorder="1" applyAlignment="1">
      <alignment horizontal="center" vertical="center"/>
    </xf>
    <xf numFmtId="166" fontId="104" fillId="5" borderId="62" xfId="0" applyNumberFormat="1" applyFont="1" applyFill="1" applyBorder="1" applyAlignment="1">
      <alignment horizontal="right" vertical="center"/>
    </xf>
    <xf numFmtId="0" fontId="111" fillId="5" borderId="56" xfId="0" applyFont="1" applyFill="1" applyBorder="1" applyAlignment="1">
      <alignment horizontal="left" vertical="center"/>
    </xf>
    <xf numFmtId="166" fontId="111" fillId="16" borderId="56" xfId="1" applyNumberFormat="1" applyFont="1" applyFill="1" applyBorder="1" applyAlignment="1" applyProtection="1">
      <alignment horizontal="right" vertical="center"/>
      <protection locked="0"/>
    </xf>
    <xf numFmtId="0" fontId="109" fillId="5" borderId="14" xfId="0" applyFont="1" applyFill="1" applyBorder="1" applyAlignment="1">
      <alignment horizontal="left" vertical="center"/>
    </xf>
    <xf numFmtId="0" fontId="99" fillId="5" borderId="62" xfId="0" applyFont="1" applyFill="1" applyBorder="1" applyAlignment="1">
      <alignment horizontal="left" vertical="center"/>
    </xf>
    <xf numFmtId="0" fontId="104" fillId="5" borderId="62" xfId="0" applyFont="1" applyFill="1" applyBorder="1" applyAlignment="1">
      <alignment horizontal="left" vertical="center"/>
    </xf>
    <xf numFmtId="3" fontId="101" fillId="16" borderId="56" xfId="1" applyNumberFormat="1" applyFont="1" applyFill="1" applyBorder="1" applyAlignment="1" applyProtection="1">
      <alignment horizontal="right" vertical="center"/>
      <protection locked="0"/>
    </xf>
    <xf numFmtId="166" fontId="109" fillId="16" borderId="14" xfId="1" applyNumberFormat="1" applyFont="1" applyFill="1" applyBorder="1" applyAlignment="1" applyProtection="1">
      <alignment horizontal="right" vertical="center"/>
      <protection locked="0"/>
    </xf>
    <xf numFmtId="166" fontId="109" fillId="16" borderId="14" xfId="1" applyNumberFormat="1" applyFont="1" applyFill="1" applyBorder="1" applyAlignment="1" applyProtection="1">
      <alignment vertical="center"/>
      <protection locked="0"/>
    </xf>
    <xf numFmtId="3" fontId="109" fillId="16" borderId="14" xfId="1" applyNumberFormat="1" applyFont="1" applyFill="1" applyBorder="1" applyAlignment="1" applyProtection="1">
      <alignment horizontal="right" vertical="center"/>
      <protection locked="0"/>
    </xf>
    <xf numFmtId="3" fontId="109" fillId="16" borderId="14" xfId="1" applyNumberFormat="1" applyFont="1" applyFill="1" applyBorder="1" applyAlignment="1" applyProtection="1">
      <alignment vertical="center"/>
      <protection locked="0"/>
    </xf>
    <xf numFmtId="166" fontId="111" fillId="16" borderId="56" xfId="1" applyNumberFormat="1" applyFont="1" applyFill="1" applyBorder="1" applyAlignment="1" applyProtection="1">
      <alignment vertical="center"/>
      <protection locked="0"/>
    </xf>
    <xf numFmtId="0" fontId="111" fillId="5" borderId="56" xfId="0" applyFont="1" applyFill="1" applyBorder="1" applyAlignment="1">
      <alignment horizontal="center" vertical="center"/>
    </xf>
    <xf numFmtId="3" fontId="111" fillId="0" borderId="57" xfId="0" applyNumberFormat="1" applyFont="1" applyBorder="1" applyAlignment="1">
      <alignment horizontal="center" vertical="center"/>
    </xf>
    <xf numFmtId="3" fontId="109" fillId="0" borderId="58" xfId="0" applyNumberFormat="1" applyFont="1" applyBorder="1" applyAlignment="1">
      <alignment horizontal="center" vertical="center"/>
    </xf>
    <xf numFmtId="166" fontId="99" fillId="16" borderId="62" xfId="1" applyNumberFormat="1" applyFont="1" applyFill="1" applyBorder="1" applyAlignment="1" applyProtection="1">
      <alignment horizontal="right" vertical="center"/>
      <protection locked="0"/>
    </xf>
    <xf numFmtId="166" fontId="99" fillId="5" borderId="62" xfId="0" applyNumberFormat="1" applyFont="1" applyFill="1" applyBorder="1" applyAlignment="1">
      <alignment horizontal="right" vertical="center"/>
    </xf>
    <xf numFmtId="166" fontId="99" fillId="16" borderId="62" xfId="1" applyNumberFormat="1" applyFont="1" applyFill="1" applyBorder="1" applyAlignment="1" applyProtection="1">
      <alignment vertical="center"/>
      <protection locked="0"/>
    </xf>
    <xf numFmtId="0" fontId="99" fillId="5" borderId="62" xfId="0" applyFont="1" applyFill="1" applyBorder="1" applyAlignment="1">
      <alignment horizontal="center" vertical="center"/>
    </xf>
    <xf numFmtId="3" fontId="99" fillId="0" borderId="63" xfId="0" applyNumberFormat="1" applyFont="1" applyBorder="1" applyAlignment="1">
      <alignment horizontal="center" vertical="center"/>
    </xf>
    <xf numFmtId="166" fontId="104" fillId="16" borderId="62" xfId="1" applyNumberFormat="1" applyFont="1" applyFill="1" applyBorder="1" applyAlignment="1" applyProtection="1">
      <alignment horizontal="right" vertical="center"/>
      <protection locked="0"/>
    </xf>
    <xf numFmtId="166" fontId="104" fillId="16" borderId="62" xfId="1" applyNumberFormat="1" applyFont="1" applyFill="1" applyBorder="1" applyAlignment="1" applyProtection="1">
      <alignment vertical="center"/>
      <protection locked="0"/>
    </xf>
    <xf numFmtId="0" fontId="104" fillId="5" borderId="62" xfId="0" applyFont="1" applyFill="1" applyBorder="1" applyAlignment="1">
      <alignment horizontal="center" vertical="center"/>
    </xf>
    <xf numFmtId="3" fontId="104" fillId="0" borderId="63" xfId="0" applyNumberFormat="1" applyFont="1" applyBorder="1" applyAlignment="1">
      <alignment horizontal="center" vertical="center"/>
    </xf>
    <xf numFmtId="0" fontId="100" fillId="5" borderId="61" xfId="0" applyFont="1" applyFill="1" applyBorder="1" applyAlignment="1">
      <alignment horizontal="center" vertical="center"/>
    </xf>
    <xf numFmtId="0" fontId="101" fillId="5" borderId="56" xfId="0" applyFont="1" applyFill="1" applyBorder="1" applyAlignment="1">
      <alignment horizontal="center" vertical="center"/>
    </xf>
    <xf numFmtId="3" fontId="101" fillId="16" borderId="56" xfId="1" applyNumberFormat="1" applyFont="1" applyFill="1" applyBorder="1" applyAlignment="1" applyProtection="1">
      <alignment vertical="center"/>
      <protection locked="0"/>
    </xf>
    <xf numFmtId="3" fontId="101" fillId="0" borderId="57" xfId="0" applyNumberFormat="1" applyFont="1" applyBorder="1" applyAlignment="1">
      <alignment horizontal="center" vertical="center"/>
    </xf>
    <xf numFmtId="3" fontId="104" fillId="16" borderId="62" xfId="1" applyNumberFormat="1" applyFont="1" applyFill="1" applyBorder="1" applyAlignment="1" applyProtection="1">
      <alignment horizontal="right" vertical="center"/>
      <protection locked="0"/>
    </xf>
    <xf numFmtId="3" fontId="104" fillId="16" borderId="62" xfId="1" applyNumberFormat="1" applyFont="1" applyFill="1" applyBorder="1" applyAlignment="1" applyProtection="1">
      <alignment vertical="center"/>
      <protection locked="0"/>
    </xf>
    <xf numFmtId="2" fontId="101" fillId="16" borderId="56" xfId="0" applyNumberFormat="1" applyFont="1" applyFill="1" applyBorder="1" applyAlignment="1" applyProtection="1">
      <alignment horizontal="center" vertical="center"/>
      <protection locked="0"/>
    </xf>
    <xf numFmtId="0" fontId="101" fillId="16" borderId="56" xfId="0" applyFont="1" applyFill="1" applyBorder="1" applyAlignment="1" applyProtection="1">
      <alignment horizontal="center" vertical="center"/>
      <protection locked="0"/>
    </xf>
    <xf numFmtId="2" fontId="101" fillId="0" borderId="57" xfId="0" applyNumberFormat="1" applyFont="1" applyBorder="1" applyAlignment="1">
      <alignment horizontal="center" vertical="center"/>
    </xf>
    <xf numFmtId="2" fontId="109" fillId="16" borderId="14" xfId="0" applyNumberFormat="1" applyFont="1" applyFill="1" applyBorder="1" applyAlignment="1" applyProtection="1">
      <alignment horizontal="center" vertical="center"/>
      <protection locked="0"/>
    </xf>
    <xf numFmtId="0" fontId="109" fillId="16" borderId="14" xfId="0" applyFont="1" applyFill="1" applyBorder="1" applyAlignment="1" applyProtection="1">
      <alignment horizontal="center" vertical="center"/>
      <protection locked="0"/>
    </xf>
    <xf numFmtId="2" fontId="109" fillId="0" borderId="58" xfId="0" applyNumberFormat="1" applyFont="1" applyBorder="1" applyAlignment="1">
      <alignment horizontal="center" vertical="center"/>
    </xf>
    <xf numFmtId="2" fontId="104" fillId="16" borderId="62" xfId="0" applyNumberFormat="1" applyFont="1" applyFill="1" applyBorder="1" applyAlignment="1" applyProtection="1">
      <alignment horizontal="center" vertical="center"/>
      <protection locked="0"/>
    </xf>
    <xf numFmtId="0" fontId="104" fillId="16" borderId="62" xfId="0" applyFont="1" applyFill="1" applyBorder="1" applyAlignment="1" applyProtection="1">
      <alignment horizontal="center" vertical="center"/>
      <protection locked="0"/>
    </xf>
    <xf numFmtId="2" fontId="104" fillId="0" borderId="63" xfId="0" applyNumberFormat="1" applyFont="1" applyBorder="1" applyAlignment="1">
      <alignment horizontal="center" vertical="center"/>
    </xf>
    <xf numFmtId="0" fontId="102" fillId="5" borderId="65" xfId="0" applyFont="1" applyFill="1" applyBorder="1" applyAlignment="1">
      <alignment horizontal="center" vertical="center"/>
    </xf>
    <xf numFmtId="0" fontId="109" fillId="5" borderId="19" xfId="0" applyFont="1" applyFill="1" applyBorder="1" applyAlignment="1">
      <alignment horizontal="center" vertical="center"/>
    </xf>
    <xf numFmtId="2" fontId="109" fillId="16" borderId="19" xfId="0" applyNumberFormat="1" applyFont="1" applyFill="1" applyBorder="1" applyAlignment="1" applyProtection="1">
      <alignment horizontal="center" vertical="center"/>
      <protection locked="0"/>
    </xf>
    <xf numFmtId="0" fontId="109" fillId="16" borderId="19" xfId="0" applyFont="1" applyFill="1" applyBorder="1" applyAlignment="1" applyProtection="1">
      <alignment horizontal="center" vertical="center"/>
      <protection locked="0"/>
    </xf>
    <xf numFmtId="2" fontId="109" fillId="0" borderId="66" xfId="0" applyNumberFormat="1" applyFont="1" applyBorder="1" applyAlignment="1">
      <alignment horizontal="center" vertical="center"/>
    </xf>
    <xf numFmtId="0" fontId="0" fillId="0" borderId="0" xfId="0" applyAlignment="1">
      <alignment vertical="center" wrapText="1"/>
    </xf>
    <xf numFmtId="0" fontId="3" fillId="3" borderId="14" xfId="0" applyFont="1" applyFill="1" applyBorder="1" applyAlignment="1">
      <alignment vertical="center" wrapText="1"/>
    </xf>
    <xf numFmtId="0" fontId="10" fillId="3" borderId="48" xfId="0" applyFont="1" applyFill="1" applyBorder="1" applyAlignment="1">
      <alignment horizontal="right" vertical="center" wrapText="1"/>
    </xf>
    <xf numFmtId="0" fontId="13" fillId="3" borderId="46" xfId="0" applyFont="1" applyFill="1" applyBorder="1" applyAlignment="1">
      <alignment horizontal="right" vertical="center" wrapText="1"/>
    </xf>
    <xf numFmtId="0" fontId="22" fillId="3" borderId="43" xfId="0" applyFont="1" applyFill="1" applyBorder="1" applyAlignment="1">
      <alignment horizontal="center" vertical="center"/>
    </xf>
    <xf numFmtId="0" fontId="3" fillId="3" borderId="14" xfId="0" applyFont="1" applyFill="1" applyBorder="1" applyAlignment="1">
      <alignment horizontal="justify" vertical="center" wrapText="1"/>
    </xf>
    <xf numFmtId="0" fontId="10" fillId="3" borderId="49" xfId="0" applyFont="1" applyFill="1" applyBorder="1" applyAlignment="1" applyProtection="1">
      <alignment horizontal="right" vertical="center" wrapText="1"/>
      <protection locked="0"/>
    </xf>
    <xf numFmtId="0" fontId="97" fillId="3" borderId="47" xfId="0" applyFont="1" applyFill="1" applyBorder="1" applyAlignment="1" applyProtection="1">
      <alignment horizontal="right" vertical="center" wrapText="1"/>
      <protection locked="0"/>
    </xf>
    <xf numFmtId="0" fontId="29" fillId="3" borderId="24" xfId="0" applyFont="1" applyFill="1" applyBorder="1" applyAlignment="1" applyProtection="1">
      <alignment horizontal="right" vertical="center" wrapText="1"/>
      <protection locked="0"/>
    </xf>
    <xf numFmtId="0" fontId="4" fillId="3" borderId="14" xfId="0" applyFont="1" applyFill="1" applyBorder="1" applyAlignment="1">
      <alignment vertical="center" wrapText="1"/>
    </xf>
    <xf numFmtId="0" fontId="3" fillId="11" borderId="10"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26" fillId="11" borderId="6" xfId="0" applyFont="1" applyFill="1" applyBorder="1" applyAlignment="1">
      <alignment horizontal="center" vertical="center" wrapText="1"/>
    </xf>
    <xf numFmtId="0" fontId="26" fillId="11" borderId="7" xfId="0" applyFont="1" applyFill="1" applyBorder="1" applyAlignment="1">
      <alignment horizontal="center" vertical="center" wrapText="1"/>
    </xf>
    <xf numFmtId="0" fontId="26" fillId="11" borderId="8" xfId="0" applyFont="1" applyFill="1" applyBorder="1" applyAlignment="1">
      <alignment horizontal="center" vertical="center" wrapText="1"/>
    </xf>
    <xf numFmtId="0" fontId="27" fillId="0" borderId="0" xfId="0" applyFont="1" applyAlignment="1">
      <alignment horizontal="left" vertical="center"/>
    </xf>
    <xf numFmtId="0" fontId="17" fillId="6" borderId="10"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31" fillId="2" borderId="32"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31" fillId="2" borderId="27" xfId="0" applyFont="1" applyFill="1" applyBorder="1" applyAlignment="1">
      <alignment horizontal="center" vertical="center" wrapText="1"/>
    </xf>
    <xf numFmtId="0" fontId="31" fillId="2" borderId="35" xfId="0" applyFont="1" applyFill="1" applyBorder="1" applyAlignment="1">
      <alignment horizontal="center" vertical="center" wrapText="1"/>
    </xf>
    <xf numFmtId="0" fontId="31" fillId="2" borderId="33" xfId="0" applyFont="1" applyFill="1" applyBorder="1" applyAlignment="1">
      <alignment horizontal="center" vertical="center" wrapText="1"/>
    </xf>
    <xf numFmtId="0" fontId="31" fillId="2" borderId="34" xfId="0" applyFont="1" applyFill="1" applyBorder="1" applyAlignment="1">
      <alignment horizontal="center" vertical="center" wrapText="1"/>
    </xf>
    <xf numFmtId="0" fontId="50" fillId="2" borderId="9"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50" fillId="2" borderId="44" xfId="0" applyFont="1" applyFill="1" applyBorder="1" applyAlignment="1">
      <alignment horizontal="center" vertical="center" wrapText="1"/>
    </xf>
    <xf numFmtId="2" fontId="44" fillId="6" borderId="9" xfId="0" applyNumberFormat="1" applyFont="1" applyFill="1" applyBorder="1" applyAlignment="1">
      <alignment horizontal="center" vertical="center" wrapText="1"/>
    </xf>
    <xf numFmtId="2" fontId="44" fillId="6" borderId="4" xfId="0" applyNumberFormat="1" applyFont="1" applyFill="1" applyBorder="1" applyAlignment="1">
      <alignment horizontal="center" vertical="center" wrapText="1"/>
    </xf>
    <xf numFmtId="0" fontId="26" fillId="6" borderId="9" xfId="0" applyFont="1" applyFill="1" applyBorder="1" applyAlignment="1">
      <alignment horizontal="left" vertical="center" wrapText="1"/>
    </xf>
    <xf numFmtId="0" fontId="26" fillId="6" borderId="4" xfId="0" applyFont="1" applyFill="1" applyBorder="1" applyAlignment="1">
      <alignment horizontal="left" vertical="center" wrapText="1"/>
    </xf>
    <xf numFmtId="2" fontId="36" fillId="4" borderId="52" xfId="0" applyNumberFormat="1" applyFont="1" applyFill="1" applyBorder="1" applyAlignment="1">
      <alignment horizontal="center" vertical="center" wrapText="1"/>
    </xf>
    <xf numFmtId="2" fontId="36" fillId="4" borderId="32" xfId="0" applyNumberFormat="1" applyFont="1" applyFill="1" applyBorder="1" applyAlignment="1">
      <alignment horizontal="center" vertical="center" wrapText="1"/>
    </xf>
    <xf numFmtId="2" fontId="36" fillId="4" borderId="53" xfId="0" applyNumberFormat="1" applyFont="1" applyFill="1" applyBorder="1" applyAlignment="1">
      <alignment horizontal="center" vertical="center" wrapText="1"/>
    </xf>
    <xf numFmtId="2" fontId="36" fillId="4" borderId="27" xfId="0" applyNumberFormat="1" applyFont="1" applyFill="1" applyBorder="1" applyAlignment="1">
      <alignment horizontal="center" vertical="center" wrapText="1"/>
    </xf>
    <xf numFmtId="2" fontId="36" fillId="4" borderId="54" xfId="0" applyNumberFormat="1" applyFont="1" applyFill="1" applyBorder="1" applyAlignment="1">
      <alignment horizontal="center" vertical="center" wrapText="1"/>
    </xf>
    <xf numFmtId="2" fontId="36" fillId="4" borderId="55" xfId="0" applyNumberFormat="1"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34" fillId="2" borderId="25" xfId="0" applyFont="1" applyFill="1" applyBorder="1" applyAlignment="1">
      <alignment horizontal="center" vertical="center" wrapText="1"/>
    </xf>
    <xf numFmtId="0" fontId="34" fillId="2" borderId="26" xfId="0" applyFont="1" applyFill="1" applyBorder="1" applyAlignment="1">
      <alignment horizontal="center" vertical="center" wrapText="1"/>
    </xf>
    <xf numFmtId="0" fontId="34" fillId="2" borderId="27" xfId="0" applyFont="1" applyFill="1" applyBorder="1" applyAlignment="1">
      <alignment horizontal="center" vertical="center" wrapText="1"/>
    </xf>
    <xf numFmtId="0" fontId="34" fillId="2" borderId="35" xfId="0" applyFont="1" applyFill="1" applyBorder="1" applyAlignment="1">
      <alignment horizontal="center" vertical="center" wrapText="1"/>
    </xf>
    <xf numFmtId="0" fontId="34" fillId="2" borderId="33" xfId="0" applyFont="1" applyFill="1" applyBorder="1" applyAlignment="1">
      <alignment horizontal="center" vertical="center" wrapText="1"/>
    </xf>
    <xf numFmtId="0" fontId="34" fillId="2" borderId="34" xfId="0" applyFont="1" applyFill="1" applyBorder="1" applyAlignment="1">
      <alignment horizontal="center" vertical="center" wrapText="1"/>
    </xf>
    <xf numFmtId="0" fontId="43" fillId="2" borderId="9"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43" fillId="2" borderId="44" xfId="0" applyFont="1" applyFill="1" applyBorder="1" applyAlignment="1">
      <alignment horizontal="center" vertical="center" wrapText="1"/>
    </xf>
    <xf numFmtId="2" fontId="43" fillId="6" borderId="9" xfId="0" applyNumberFormat="1" applyFont="1" applyFill="1" applyBorder="1" applyAlignment="1">
      <alignment horizontal="center" vertical="center" wrapText="1"/>
    </xf>
    <xf numFmtId="2" fontId="43" fillId="6" borderId="4" xfId="0" applyNumberFormat="1" applyFont="1" applyFill="1" applyBorder="1" applyAlignment="1">
      <alignment horizontal="center" vertical="center" wrapText="1"/>
    </xf>
    <xf numFmtId="0" fontId="14" fillId="6" borderId="9" xfId="0" applyFont="1" applyFill="1" applyBorder="1" applyAlignment="1">
      <alignment horizontal="left" vertical="center" wrapText="1"/>
    </xf>
    <xf numFmtId="0" fontId="14" fillId="6" borderId="4" xfId="0" applyFont="1" applyFill="1" applyBorder="1" applyAlignment="1">
      <alignment horizontal="left" vertical="center" wrapText="1"/>
    </xf>
    <xf numFmtId="2" fontId="37" fillId="4" borderId="30" xfId="0" applyNumberFormat="1" applyFont="1" applyFill="1" applyBorder="1" applyAlignment="1">
      <alignment horizontal="center" vertical="center" wrapText="1"/>
    </xf>
    <xf numFmtId="2" fontId="37" fillId="4" borderId="32" xfId="0" applyNumberFormat="1" applyFont="1" applyFill="1" applyBorder="1" applyAlignment="1">
      <alignment horizontal="center" vertical="center" wrapText="1"/>
    </xf>
    <xf numFmtId="2" fontId="37" fillId="4" borderId="26" xfId="0" applyNumberFormat="1" applyFont="1" applyFill="1" applyBorder="1" applyAlignment="1">
      <alignment horizontal="center" vertical="center" wrapText="1"/>
    </xf>
    <xf numFmtId="2" fontId="37" fillId="4" borderId="27" xfId="0" applyNumberFormat="1" applyFont="1" applyFill="1" applyBorder="1" applyAlignment="1">
      <alignment horizontal="center" vertical="center" wrapText="1"/>
    </xf>
    <xf numFmtId="2" fontId="37" fillId="4" borderId="33" xfId="0" applyNumberFormat="1" applyFont="1" applyFill="1" applyBorder="1" applyAlignment="1">
      <alignment horizontal="center" vertical="center" wrapText="1"/>
    </xf>
    <xf numFmtId="2" fontId="37" fillId="4" borderId="34" xfId="0" applyNumberFormat="1" applyFont="1" applyFill="1" applyBorder="1" applyAlignment="1">
      <alignment horizontal="center" vertical="center" wrapText="1"/>
    </xf>
    <xf numFmtId="0" fontId="46" fillId="6" borderId="9" xfId="0" applyFont="1" applyFill="1" applyBorder="1" applyAlignment="1">
      <alignment horizontal="left" vertical="center" wrapText="1"/>
    </xf>
    <xf numFmtId="0" fontId="46" fillId="6" borderId="4"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40" fillId="2" borderId="29" xfId="0" applyFont="1" applyFill="1" applyBorder="1" applyAlignment="1">
      <alignment horizontal="center" vertical="center" wrapText="1"/>
    </xf>
    <xf numFmtId="0" fontId="40" fillId="2" borderId="30" xfId="0" applyFont="1" applyFill="1" applyBorder="1" applyAlignment="1">
      <alignment horizontal="center" vertical="center" wrapText="1"/>
    </xf>
    <xf numFmtId="0" fontId="40" fillId="2" borderId="32" xfId="0" applyFont="1" applyFill="1" applyBorder="1" applyAlignment="1">
      <alignment horizontal="center" vertical="center" wrapText="1"/>
    </xf>
    <xf numFmtId="0" fontId="40" fillId="2" borderId="25" xfId="0" applyFont="1" applyFill="1" applyBorder="1" applyAlignment="1">
      <alignment horizontal="center" vertical="center" wrapText="1"/>
    </xf>
    <xf numFmtId="0" fontId="40" fillId="2" borderId="26" xfId="0" applyFont="1" applyFill="1" applyBorder="1" applyAlignment="1">
      <alignment horizontal="center" vertical="center" wrapText="1"/>
    </xf>
    <xf numFmtId="0" fontId="40" fillId="2" borderId="27" xfId="0" applyFont="1" applyFill="1" applyBorder="1" applyAlignment="1">
      <alignment horizontal="center" vertical="center" wrapText="1"/>
    </xf>
    <xf numFmtId="0" fontId="40" fillId="2" borderId="35"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4" xfId="0" applyFont="1" applyFill="1" applyBorder="1" applyAlignment="1">
      <alignment horizontal="center" vertical="center" wrapText="1"/>
    </xf>
    <xf numFmtId="0" fontId="56" fillId="2" borderId="9" xfId="0" applyFont="1" applyFill="1" applyBorder="1" applyAlignment="1">
      <alignment horizontal="center" vertical="center" wrapText="1"/>
    </xf>
    <xf numFmtId="0" fontId="56" fillId="2" borderId="4" xfId="0" applyFont="1" applyFill="1" applyBorder="1" applyAlignment="1">
      <alignment horizontal="center" vertical="center" wrapText="1"/>
    </xf>
    <xf numFmtId="0" fontId="56" fillId="2" borderId="44" xfId="0" applyFont="1" applyFill="1" applyBorder="1" applyAlignment="1">
      <alignment horizontal="center" vertical="center" wrapText="1"/>
    </xf>
    <xf numFmtId="2" fontId="38" fillId="4" borderId="30" xfId="0" applyNumberFormat="1" applyFont="1" applyFill="1" applyBorder="1" applyAlignment="1">
      <alignment horizontal="center" vertical="center" wrapText="1"/>
    </xf>
    <xf numFmtId="2" fontId="38" fillId="4" borderId="32" xfId="0" applyNumberFormat="1" applyFont="1" applyFill="1" applyBorder="1" applyAlignment="1">
      <alignment horizontal="center" vertical="center" wrapText="1"/>
    </xf>
    <xf numFmtId="2" fontId="38" fillId="4" borderId="26" xfId="0" applyNumberFormat="1" applyFont="1" applyFill="1" applyBorder="1" applyAlignment="1">
      <alignment horizontal="center" vertical="center" wrapText="1"/>
    </xf>
    <xf numFmtId="2" fontId="38" fillId="4" borderId="27" xfId="0" applyNumberFormat="1" applyFont="1" applyFill="1" applyBorder="1" applyAlignment="1">
      <alignment horizontal="center" vertical="center" wrapText="1"/>
    </xf>
    <xf numFmtId="2" fontId="38" fillId="4" borderId="33" xfId="0" applyNumberFormat="1" applyFont="1" applyFill="1" applyBorder="1" applyAlignment="1">
      <alignment horizontal="center" vertical="center" wrapText="1"/>
    </xf>
    <xf numFmtId="2" fontId="38" fillId="4" borderId="34" xfId="0" applyNumberFormat="1" applyFont="1" applyFill="1" applyBorder="1" applyAlignment="1">
      <alignment horizontal="center" vertical="center" wrapText="1"/>
    </xf>
    <xf numFmtId="2" fontId="45" fillId="6" borderId="9" xfId="0" applyNumberFormat="1" applyFont="1" applyFill="1" applyBorder="1" applyAlignment="1">
      <alignment horizontal="center" vertical="center" wrapText="1"/>
    </xf>
    <xf numFmtId="2" fontId="45" fillId="6" borderId="4" xfId="0" applyNumberFormat="1" applyFont="1" applyFill="1" applyBorder="1" applyAlignment="1">
      <alignment horizontal="center" vertical="center" wrapText="1"/>
    </xf>
    <xf numFmtId="0" fontId="46" fillId="15" borderId="12" xfId="0" applyFont="1" applyFill="1" applyBorder="1" applyAlignment="1">
      <alignment horizontal="left" vertical="center" wrapText="1"/>
    </xf>
    <xf numFmtId="0" fontId="46" fillId="15" borderId="2" xfId="0" applyFont="1" applyFill="1" applyBorder="1" applyAlignment="1">
      <alignment horizontal="left" vertical="center" wrapText="1"/>
    </xf>
    <xf numFmtId="2" fontId="45" fillId="15" borderId="9" xfId="0" applyNumberFormat="1" applyFont="1" applyFill="1" applyBorder="1" applyAlignment="1">
      <alignment horizontal="right" vertical="center" wrapText="1"/>
    </xf>
    <xf numFmtId="2" fontId="45" fillId="15" borderId="1" xfId="0" applyNumberFormat="1" applyFont="1" applyFill="1" applyBorder="1" applyAlignment="1">
      <alignment horizontal="right" vertical="center" wrapText="1"/>
    </xf>
    <xf numFmtId="0" fontId="46" fillId="0" borderId="10" xfId="0" applyFont="1" applyBorder="1" applyAlignment="1">
      <alignment horizontal="right" vertical="center" wrapText="1"/>
    </xf>
    <xf numFmtId="0" fontId="46" fillId="0" borderId="3" xfId="0" applyFont="1" applyBorder="1" applyAlignment="1">
      <alignment horizontal="right" vertical="center" wrapText="1"/>
    </xf>
    <xf numFmtId="0" fontId="1" fillId="0" borderId="0" xfId="0" applyFont="1" applyAlignment="1">
      <alignment horizontal="left"/>
    </xf>
    <xf numFmtId="0" fontId="45" fillId="4" borderId="12" xfId="0" applyFont="1" applyFill="1" applyBorder="1" applyAlignment="1">
      <alignment horizontal="left" vertical="center" wrapText="1"/>
    </xf>
    <xf numFmtId="0" fontId="45" fillId="4" borderId="5" xfId="0" applyFont="1" applyFill="1" applyBorder="1" applyAlignment="1">
      <alignment horizontal="left" vertical="center" wrapText="1"/>
    </xf>
    <xf numFmtId="0" fontId="45" fillId="4" borderId="2" xfId="0" applyFont="1" applyFill="1" applyBorder="1" applyAlignment="1">
      <alignment horizontal="left" vertical="center" wrapText="1"/>
    </xf>
    <xf numFmtId="0" fontId="27" fillId="5" borderId="35" xfId="0" applyFont="1" applyFill="1" applyBorder="1" applyAlignment="1">
      <alignment horizontal="center" vertical="center" wrapText="1"/>
    </xf>
    <xf numFmtId="0" fontId="27" fillId="5" borderId="28"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26" xfId="0" applyFont="1" applyFill="1" applyBorder="1" applyAlignment="1">
      <alignment horizontal="center" vertical="center" wrapText="1"/>
    </xf>
    <xf numFmtId="0" fontId="20" fillId="5" borderId="27" xfId="0" applyFont="1" applyFill="1" applyBorder="1" applyAlignment="1">
      <alignment horizontal="center" vertical="center" wrapText="1"/>
    </xf>
    <xf numFmtId="0" fontId="27" fillId="5" borderId="25" xfId="0" applyFont="1" applyFill="1" applyBorder="1" applyAlignment="1">
      <alignment horizontal="center" vertical="center" wrapText="1"/>
    </xf>
    <xf numFmtId="0" fontId="27" fillId="5" borderId="26" xfId="0" applyFont="1" applyFill="1" applyBorder="1" applyAlignment="1">
      <alignment horizontal="center" vertical="center" wrapText="1"/>
    </xf>
    <xf numFmtId="0" fontId="27" fillId="5" borderId="27" xfId="0" applyFont="1" applyFill="1" applyBorder="1" applyAlignment="1">
      <alignment horizontal="center" vertical="center" wrapText="1"/>
    </xf>
    <xf numFmtId="0" fontId="52" fillId="4" borderId="10" xfId="0" applyFont="1" applyFill="1" applyBorder="1" applyAlignment="1">
      <alignment horizontal="center" vertical="center" wrapText="1"/>
    </xf>
    <xf numFmtId="0" fontId="52" fillId="4" borderId="12" xfId="0" applyFont="1" applyFill="1" applyBorder="1" applyAlignment="1">
      <alignment horizontal="center" vertical="center" wrapText="1"/>
    </xf>
    <xf numFmtId="0" fontId="52" fillId="4" borderId="13" xfId="0" applyFont="1" applyFill="1" applyBorder="1" applyAlignment="1">
      <alignment horizontal="center" vertical="center" wrapText="1"/>
    </xf>
    <xf numFmtId="0" fontId="52" fillId="4" borderId="5" xfId="0" applyFont="1" applyFill="1" applyBorder="1" applyAlignment="1">
      <alignment horizontal="center" vertical="center" wrapText="1"/>
    </xf>
    <xf numFmtId="0" fontId="52" fillId="4" borderId="3" xfId="0" applyFont="1" applyFill="1" applyBorder="1" applyAlignment="1">
      <alignment horizontal="center" vertical="center" wrapText="1"/>
    </xf>
    <xf numFmtId="0" fontId="52" fillId="4" borderId="2" xfId="0" applyFont="1" applyFill="1" applyBorder="1" applyAlignment="1">
      <alignment horizontal="center" vertical="center" wrapText="1"/>
    </xf>
    <xf numFmtId="2" fontId="55" fillId="4" borderId="30" xfId="0" applyNumberFormat="1" applyFont="1" applyFill="1" applyBorder="1" applyAlignment="1">
      <alignment horizontal="center" vertical="center" wrapText="1"/>
    </xf>
    <xf numFmtId="0" fontId="55" fillId="4" borderId="30" xfId="0" applyFont="1" applyFill="1" applyBorder="1" applyAlignment="1">
      <alignment horizontal="center" vertical="center" wrapText="1"/>
    </xf>
    <xf numFmtId="2" fontId="55" fillId="4" borderId="26" xfId="0" applyNumberFormat="1" applyFont="1" applyFill="1" applyBorder="1" applyAlignment="1">
      <alignment horizontal="center" vertical="center" wrapText="1"/>
    </xf>
    <xf numFmtId="2" fontId="55" fillId="4" borderId="33" xfId="0" applyNumberFormat="1" applyFont="1" applyFill="1" applyBorder="1" applyAlignment="1">
      <alignment horizontal="center" vertical="center" wrapText="1"/>
    </xf>
    <xf numFmtId="0" fontId="55" fillId="4" borderId="33" xfId="0" applyFont="1" applyFill="1" applyBorder="1" applyAlignment="1">
      <alignment horizontal="center" vertical="center" wrapText="1"/>
    </xf>
    <xf numFmtId="2" fontId="64" fillId="4" borderId="9" xfId="0" applyNumberFormat="1" applyFont="1" applyFill="1" applyBorder="1" applyAlignment="1">
      <alignment horizontal="center" vertical="center" wrapText="1"/>
    </xf>
    <xf numFmtId="2" fontId="64" fillId="4" borderId="4" xfId="0" applyNumberFormat="1" applyFont="1" applyFill="1" applyBorder="1" applyAlignment="1">
      <alignment horizontal="center" vertical="center" wrapText="1"/>
    </xf>
    <xf numFmtId="2" fontId="64" fillId="4" borderId="1" xfId="0" applyNumberFormat="1" applyFont="1" applyFill="1" applyBorder="1" applyAlignment="1">
      <alignment horizontal="center" vertical="center" wrapText="1"/>
    </xf>
    <xf numFmtId="0" fontId="3" fillId="11" borderId="14" xfId="0" applyFont="1" applyFill="1" applyBorder="1" applyAlignment="1">
      <alignment horizontal="center" vertical="center"/>
    </xf>
    <xf numFmtId="0" fontId="3" fillId="11" borderId="56" xfId="0" applyFont="1" applyFill="1" applyBorder="1" applyAlignment="1">
      <alignment horizontal="center"/>
    </xf>
    <xf numFmtId="0" fontId="3" fillId="11" borderId="57" xfId="0" applyFont="1" applyFill="1" applyBorder="1" applyAlignment="1">
      <alignment horizontal="center"/>
    </xf>
    <xf numFmtId="0" fontId="46" fillId="11" borderId="58" xfId="0" applyFont="1" applyFill="1" applyBorder="1" applyAlignment="1">
      <alignment horizontal="center" vertical="center"/>
    </xf>
  </cellXfs>
  <cellStyles count="2">
    <cellStyle name="จุลภาค" xfId="1" builtinId="3"/>
    <cellStyle name="ปกติ" xfId="0" builtinId="0"/>
  </cellStyles>
  <dxfs count="0"/>
  <tableStyles count="0" defaultTableStyle="TableStyleMedium2" defaultPivotStyle="PivotStyleLight16"/>
  <colors>
    <mruColors>
      <color rgb="FF990000"/>
      <color rgb="FF0000FF"/>
      <color rgb="FFFFCCFF"/>
      <color rgb="FFCC00FF"/>
      <color rgb="FFFF3399"/>
      <color rgb="FFFFFFCC"/>
      <color rgb="FF006600"/>
      <color rgb="FFFDF0E9"/>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21"/>
  <sheetViews>
    <sheetView workbookViewId="0">
      <selection activeCell="B18" sqref="B18"/>
    </sheetView>
  </sheetViews>
  <sheetFormatPr defaultRowHeight="15"/>
  <cols>
    <col min="1" max="1" width="5.85546875" style="252" customWidth="1"/>
    <col min="2" max="2" width="91.85546875" customWidth="1"/>
  </cols>
  <sheetData>
    <row r="1" spans="1:2" s="248" customFormat="1">
      <c r="A1" s="251">
        <v>1</v>
      </c>
      <c r="B1" s="249" t="s">
        <v>220</v>
      </c>
    </row>
    <row r="2" spans="1:2" ht="30">
      <c r="A2" s="254">
        <v>2</v>
      </c>
      <c r="B2" s="255" t="s">
        <v>219</v>
      </c>
    </row>
    <row r="3" spans="1:2" s="248" customFormat="1" ht="30">
      <c r="A3" s="251">
        <v>3</v>
      </c>
      <c r="B3" s="249" t="s">
        <v>231</v>
      </c>
    </row>
    <row r="4" spans="1:2" s="248" customFormat="1" ht="30">
      <c r="A4" s="254">
        <v>4</v>
      </c>
      <c r="B4" s="348" t="s">
        <v>232</v>
      </c>
    </row>
    <row r="5" spans="1:2" s="248" customFormat="1" ht="30">
      <c r="A5" s="251">
        <v>5</v>
      </c>
      <c r="B5" s="255" t="s">
        <v>221</v>
      </c>
    </row>
    <row r="6" spans="1:2" s="248" customFormat="1">
      <c r="A6" s="254"/>
      <c r="B6" s="253" t="s">
        <v>222</v>
      </c>
    </row>
    <row r="7" spans="1:2" s="248" customFormat="1">
      <c r="A7" s="251"/>
      <c r="B7" s="249"/>
    </row>
    <row r="8" spans="1:2" s="248" customFormat="1">
      <c r="A8" s="254"/>
      <c r="B8" s="255"/>
    </row>
    <row r="9" spans="1:2" s="248" customFormat="1">
      <c r="A9" s="251"/>
      <c r="B9" s="249"/>
    </row>
    <row r="10" spans="1:2" s="248" customFormat="1">
      <c r="A10" s="254"/>
      <c r="B10" s="255"/>
    </row>
    <row r="11" spans="1:2" s="248" customFormat="1">
      <c r="A11" s="251"/>
      <c r="B11" s="249"/>
    </row>
    <row r="12" spans="1:2" s="248" customFormat="1">
      <c r="A12" s="251"/>
      <c r="B12" s="255"/>
    </row>
    <row r="13" spans="1:2" s="248" customFormat="1">
      <c r="A13" s="251"/>
      <c r="B13" s="250"/>
    </row>
    <row r="14" spans="1:2" s="248" customFormat="1">
      <c r="A14" s="251"/>
      <c r="B14" s="250"/>
    </row>
    <row r="15" spans="1:2" s="248" customFormat="1">
      <c r="A15" s="251"/>
      <c r="B15" s="250"/>
    </row>
    <row r="16" spans="1:2">
      <c r="B16" s="250"/>
    </row>
    <row r="17" spans="2:2">
      <c r="B17" s="250"/>
    </row>
    <row r="18" spans="2:2">
      <c r="B18" s="250"/>
    </row>
    <row r="19" spans="2:2">
      <c r="B19" s="250"/>
    </row>
    <row r="20" spans="2:2">
      <c r="B20" s="250"/>
    </row>
    <row r="21" spans="2:2">
      <c r="B21" s="250"/>
    </row>
  </sheetData>
  <sheetProtection algorithmName="SHA-512" hashValue="sxz8Xnr3B74MTPU3mfQx4aJFgckX4CrhKy7dmuBFqTQlil9qthCoX7yAbBQfzYc6JfExPAtfyWjwDFGOvUy1fQ==" saltValue="J8/MoPJ25tgYBwOFhfV4Pw=="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00FF"/>
    <pageSetUpPr fitToPage="1"/>
  </sheetPr>
  <dimension ref="A1:L33"/>
  <sheetViews>
    <sheetView zoomScale="80" zoomScaleNormal="80" workbookViewId="0">
      <pane xSplit="3" ySplit="6" topLeftCell="D7" activePane="bottomRight" state="frozen"/>
      <selection pane="topRight" activeCell="D1" sqref="D1"/>
      <selection pane="bottomLeft" activeCell="A7" sqref="A7"/>
      <selection pane="bottomRight" activeCell="D15" sqref="D15"/>
    </sheetView>
  </sheetViews>
  <sheetFormatPr defaultRowHeight="15.75"/>
  <cols>
    <col min="1" max="1" width="62" customWidth="1"/>
    <col min="2" max="2" width="11.140625" style="1" customWidth="1"/>
    <col min="3" max="3" width="11" style="1" customWidth="1"/>
    <col min="4" max="4" width="10.28515625" style="14" customWidth="1"/>
    <col min="5" max="5" width="15.42578125" customWidth="1"/>
    <col min="6" max="6" width="5.28515625" customWidth="1"/>
    <col min="7" max="7" width="8.7109375" customWidth="1"/>
    <col min="8" max="8" width="14.7109375" customWidth="1"/>
    <col min="9" max="9" width="8.85546875" customWidth="1"/>
    <col min="10" max="10" width="17.7109375" customWidth="1"/>
    <col min="11" max="13" width="8.85546875" customWidth="1"/>
    <col min="14" max="14" width="11.7109375" customWidth="1"/>
  </cols>
  <sheetData>
    <row r="1" spans="1:12" ht="21.6" customHeight="1">
      <c r="A1" s="363" t="str">
        <f>'CDS(สำหรับภาคผนวก) '!A1</f>
        <v>วิทยาเขต ยะลา</v>
      </c>
      <c r="B1" s="363"/>
      <c r="C1" s="287"/>
      <c r="D1" s="286"/>
    </row>
    <row r="2" spans="1:12" ht="16.5" thickBot="1"/>
    <row r="3" spans="1:12" ht="25.9" customHeight="1" thickBot="1">
      <c r="A3" s="358" t="s">
        <v>56</v>
      </c>
      <c r="B3" s="360" t="s">
        <v>16</v>
      </c>
      <c r="C3" s="361"/>
      <c r="D3" s="362"/>
    </row>
    <row r="4" spans="1:12" ht="21.6" customHeight="1">
      <c r="A4" s="359"/>
      <c r="B4" s="237" t="s">
        <v>17</v>
      </c>
      <c r="C4" s="238" t="s">
        <v>17</v>
      </c>
      <c r="D4" s="239" t="s">
        <v>17</v>
      </c>
    </row>
    <row r="5" spans="1:12" ht="21.6" customHeight="1" thickBot="1">
      <c r="A5" s="359"/>
      <c r="B5" s="240" t="s">
        <v>18</v>
      </c>
      <c r="C5" s="241" t="s">
        <v>19</v>
      </c>
      <c r="D5" s="242" t="s">
        <v>60</v>
      </c>
    </row>
    <row r="6" spans="1:12" ht="24">
      <c r="A6" s="349" t="s">
        <v>75</v>
      </c>
      <c r="B6" s="350"/>
      <c r="C6" s="351"/>
      <c r="D6" s="352"/>
    </row>
    <row r="7" spans="1:12" ht="28.9" customHeight="1">
      <c r="A7" s="243" t="s">
        <v>65</v>
      </c>
      <c r="B7" s="230">
        <f>'CDS(สำหรับภาคผนวก) '!E7</f>
        <v>4.55</v>
      </c>
      <c r="C7" s="274">
        <f>'CDS(สำหรับภาคผนวก) '!E10</f>
        <v>4.51</v>
      </c>
      <c r="D7" s="231">
        <f>'CDS(สำหรับภาคผนวก) '!E15</f>
        <v>4.5233333333333334</v>
      </c>
      <c r="E7" s="232" t="s">
        <v>177</v>
      </c>
    </row>
    <row r="8" spans="1:12" ht="49.9" customHeight="1" thickBot="1">
      <c r="A8" s="243" t="s">
        <v>0</v>
      </c>
      <c r="B8" s="147">
        <v>5</v>
      </c>
      <c r="C8" s="275">
        <v>5</v>
      </c>
      <c r="D8" s="47">
        <v>5</v>
      </c>
      <c r="E8" s="292" t="s">
        <v>179</v>
      </c>
      <c r="F8" s="291" t="s">
        <v>230</v>
      </c>
    </row>
    <row r="9" spans="1:12" ht="33.6" customHeight="1">
      <c r="A9" s="243" t="s">
        <v>66</v>
      </c>
      <c r="B9" s="233">
        <f>IF(((((H9/J9)*100)/80)*5)&gt;5,5,((((H9/J9)*100)/80)*5))</f>
        <v>5</v>
      </c>
      <c r="C9" s="234">
        <f>IF(((((H10/J10)*100)/80)*5)&gt;5,5,((((H10/J10)*100)/80)*5))</f>
        <v>5</v>
      </c>
      <c r="D9" s="234">
        <f>IF(((((H11/J11)*100)/80)*5)&gt;5,5,((((H11/J11)*100)/80)*5))</f>
        <v>5</v>
      </c>
      <c r="E9" s="235" t="s">
        <v>177</v>
      </c>
      <c r="F9" s="328" t="s">
        <v>181</v>
      </c>
      <c r="G9" s="329" t="s">
        <v>183</v>
      </c>
      <c r="H9" s="334">
        <v>68</v>
      </c>
      <c r="I9" s="329" t="s">
        <v>71</v>
      </c>
      <c r="J9" s="335">
        <v>68</v>
      </c>
      <c r="K9" s="329" t="s">
        <v>72</v>
      </c>
      <c r="L9" s="336">
        <f>(H9/J9)*100</f>
        <v>100</v>
      </c>
    </row>
    <row r="10" spans="1:12" ht="30.75">
      <c r="A10" s="243" t="s">
        <v>1</v>
      </c>
      <c r="B10" s="147">
        <v>4.93</v>
      </c>
      <c r="C10" s="275">
        <v>4.7699999999999996</v>
      </c>
      <c r="D10" s="47">
        <v>5</v>
      </c>
      <c r="E10" s="54" t="s">
        <v>179</v>
      </c>
      <c r="F10" s="298" t="s">
        <v>180</v>
      </c>
      <c r="G10" s="299" t="s">
        <v>183</v>
      </c>
      <c r="H10" s="337">
        <v>44</v>
      </c>
      <c r="I10" s="299" t="s">
        <v>71</v>
      </c>
      <c r="J10" s="338">
        <v>42</v>
      </c>
      <c r="K10" s="299" t="s">
        <v>72</v>
      </c>
      <c r="L10" s="339">
        <f>(H10/J10)*100</f>
        <v>104.76190476190477</v>
      </c>
    </row>
    <row r="11" spans="1:12" ht="31.5" thickBot="1">
      <c r="A11" s="353" t="s">
        <v>84</v>
      </c>
      <c r="B11" s="354"/>
      <c r="C11" s="355"/>
      <c r="D11" s="356"/>
      <c r="F11" s="303" t="s">
        <v>182</v>
      </c>
      <c r="G11" s="326" t="s">
        <v>183</v>
      </c>
      <c r="H11" s="340">
        <v>85</v>
      </c>
      <c r="I11" s="326" t="s">
        <v>71</v>
      </c>
      <c r="J11" s="341">
        <v>85</v>
      </c>
      <c r="K11" s="326" t="s">
        <v>72</v>
      </c>
      <c r="L11" s="342">
        <f>(H11/J11)*100</f>
        <v>100</v>
      </c>
    </row>
    <row r="12" spans="1:12" ht="21" customHeight="1" thickBot="1">
      <c r="A12" s="243" t="s">
        <v>20</v>
      </c>
      <c r="B12" s="59">
        <v>3.89</v>
      </c>
      <c r="C12" s="276">
        <v>2.92</v>
      </c>
      <c r="D12" s="47">
        <v>0.88</v>
      </c>
      <c r="E12" s="54" t="s">
        <v>179</v>
      </c>
      <c r="H12" s="245"/>
      <c r="J12" s="245"/>
    </row>
    <row r="13" spans="1:12" ht="24.6" customHeight="1">
      <c r="A13" s="243" t="s">
        <v>21</v>
      </c>
      <c r="B13" s="233">
        <f>IF(((((H13/J13)*100)/80)*5)&gt;5,5,((((H13/J13)*100)/80)*5))</f>
        <v>4.4642857142857144</v>
      </c>
      <c r="C13" s="234">
        <f>IF(((((H14/J14)*100)/80)*5)&gt;5,5,((((H14/J14)*100)/80)*5))</f>
        <v>2.5</v>
      </c>
      <c r="D13" s="272">
        <f>IF(((((H15/J15)*100)/80)*5)&gt;5,5,((((H15/J15)*100)/80)*5))</f>
        <v>2.5</v>
      </c>
      <c r="E13" s="235" t="s">
        <v>177</v>
      </c>
      <c r="F13" s="328" t="s">
        <v>181</v>
      </c>
      <c r="G13" s="329" t="s">
        <v>184</v>
      </c>
      <c r="H13" s="334">
        <v>5</v>
      </c>
      <c r="I13" s="329" t="s">
        <v>71</v>
      </c>
      <c r="J13" s="335">
        <v>7</v>
      </c>
      <c r="K13" s="329" t="s">
        <v>72</v>
      </c>
      <c r="L13" s="336">
        <f>(H13/J13)*100</f>
        <v>71.428571428571431</v>
      </c>
    </row>
    <row r="14" spans="1:12" ht="26.45" customHeight="1">
      <c r="A14" s="349" t="s">
        <v>77</v>
      </c>
      <c r="B14" s="354"/>
      <c r="C14" s="355"/>
      <c r="D14" s="356"/>
      <c r="F14" s="343" t="s">
        <v>180</v>
      </c>
      <c r="G14" s="344" t="s">
        <v>184</v>
      </c>
      <c r="H14" s="345">
        <v>2</v>
      </c>
      <c r="I14" s="344" t="s">
        <v>71</v>
      </c>
      <c r="J14" s="346">
        <v>5</v>
      </c>
      <c r="K14" s="344" t="s">
        <v>72</v>
      </c>
      <c r="L14" s="347">
        <f>(H14/J14)*100</f>
        <v>40</v>
      </c>
    </row>
    <row r="15" spans="1:12" ht="19.899999999999999" customHeight="1" thickBot="1">
      <c r="A15" s="243" t="s">
        <v>22</v>
      </c>
      <c r="B15" s="233">
        <f>IF((((('CDS(สำหรับภาคผนวก) '!B82/10800)*100)/90)*5)&gt;5,5,(((('CDS(สำหรับภาคผนวก) '!B82/10800)*100)/90)*5))</f>
        <v>5</v>
      </c>
      <c r="C15" s="234">
        <f>IF((((('CDS(สำหรับภาคผนวก) '!C82/10800)*100)/90)*5)&gt;5,5,(((('CDS(สำหรับภาคผนวก) '!C82/10800)*100)/90)*5))</f>
        <v>5</v>
      </c>
      <c r="D15" s="272">
        <f>IF((((('CDS(สำหรับภาคผนวก) '!D82/10800)*100)/90)*5)&gt;5,5,(((('CDS(สำหรับภาคผนวก) '!D82/10800)*100)/90)*5))</f>
        <v>5</v>
      </c>
      <c r="E15" s="235" t="s">
        <v>177</v>
      </c>
      <c r="F15" s="303" t="s">
        <v>182</v>
      </c>
      <c r="G15" s="326" t="s">
        <v>184</v>
      </c>
      <c r="H15" s="340">
        <v>2</v>
      </c>
      <c r="I15" s="326" t="s">
        <v>71</v>
      </c>
      <c r="J15" s="341">
        <v>5</v>
      </c>
      <c r="K15" s="326" t="s">
        <v>72</v>
      </c>
      <c r="L15" s="342">
        <f>(H15/J15)*100</f>
        <v>40</v>
      </c>
    </row>
    <row r="16" spans="1:12" ht="22.15" customHeight="1">
      <c r="A16" s="357" t="s">
        <v>78</v>
      </c>
      <c r="B16" s="354"/>
      <c r="C16" s="355"/>
      <c r="D16" s="356"/>
      <c r="J16" s="245"/>
    </row>
    <row r="17" spans="1:12" ht="24" customHeight="1">
      <c r="A17" s="243" t="s">
        <v>5</v>
      </c>
      <c r="B17" s="59">
        <v>5</v>
      </c>
      <c r="C17" s="276">
        <v>5</v>
      </c>
      <c r="D17" s="47">
        <v>5</v>
      </c>
      <c r="E17" s="54" t="s">
        <v>179</v>
      </c>
    </row>
    <row r="18" spans="1:12" ht="30.75">
      <c r="A18" s="357" t="s">
        <v>79</v>
      </c>
      <c r="B18" s="354"/>
      <c r="C18" s="355"/>
      <c r="D18" s="356"/>
    </row>
    <row r="19" spans="1:12" ht="27" customHeight="1">
      <c r="A19" s="243" t="s">
        <v>23</v>
      </c>
      <c r="B19" s="60">
        <v>5</v>
      </c>
      <c r="C19" s="277">
        <v>5</v>
      </c>
      <c r="D19" s="48">
        <v>5</v>
      </c>
    </row>
    <row r="20" spans="1:12" ht="27" customHeight="1" thickBot="1">
      <c r="A20" s="243" t="s">
        <v>24</v>
      </c>
      <c r="B20" s="60">
        <v>5</v>
      </c>
      <c r="C20" s="277">
        <v>5</v>
      </c>
      <c r="D20" s="48">
        <v>5</v>
      </c>
    </row>
    <row r="21" spans="1:12" ht="27" customHeight="1" thickBot="1">
      <c r="A21" s="243" t="s">
        <v>25</v>
      </c>
      <c r="B21" s="60">
        <v>5</v>
      </c>
      <c r="C21" s="277">
        <v>5</v>
      </c>
      <c r="D21" s="48">
        <v>5</v>
      </c>
      <c r="F21" s="278" t="s">
        <v>181</v>
      </c>
      <c r="G21" s="281" t="s">
        <v>185</v>
      </c>
      <c r="H21" s="293">
        <v>105000</v>
      </c>
      <c r="I21" s="281" t="s">
        <v>186</v>
      </c>
      <c r="J21" s="295">
        <v>140000</v>
      </c>
      <c r="K21" s="281" t="s">
        <v>71</v>
      </c>
      <c r="L21" s="282">
        <f>'CDS(สำหรับภาคผนวก) '!B88</f>
        <v>12</v>
      </c>
    </row>
    <row r="22" spans="1:12" ht="20.45" customHeight="1" thickBot="1">
      <c r="A22" s="243" t="s">
        <v>26</v>
      </c>
      <c r="B22" s="233">
        <f>IF((((H21/L21)*5)/25000)&gt;5,5,((((H21/L21)*5)/25000)))</f>
        <v>1.75</v>
      </c>
      <c r="C22" s="234">
        <f>IF((((H22/L22)*5)/12500)&gt;5,5,((((H22/L22)*5)/12500)))</f>
        <v>1.1666666666666665</v>
      </c>
      <c r="D22" s="272">
        <f>IF((((H23/L23)*5)/12500)&gt;5,5,((((H23/L23)*5)/12500)))</f>
        <v>1.3647058823529412</v>
      </c>
      <c r="E22" s="235" t="s">
        <v>177</v>
      </c>
      <c r="F22" s="279" t="s">
        <v>180</v>
      </c>
      <c r="G22" s="244" t="s">
        <v>185</v>
      </c>
      <c r="H22" s="293">
        <v>35000</v>
      </c>
      <c r="I22" s="244" t="s">
        <v>186</v>
      </c>
      <c r="J22" s="295">
        <v>0</v>
      </c>
      <c r="K22" s="244" t="s">
        <v>71</v>
      </c>
      <c r="L22" s="283">
        <f>'CDS(สำหรับภาคผนวก) '!C88</f>
        <v>12</v>
      </c>
    </row>
    <row r="23" spans="1:12" ht="25.15" customHeight="1" thickBot="1">
      <c r="A23" s="243" t="s">
        <v>228</v>
      </c>
      <c r="B23" s="233">
        <f>IF((((J21/L21)*5)/50000)&gt;5,5,((((J21/L21)*5)/50000)))</f>
        <v>1.1666666666666665</v>
      </c>
      <c r="C23" s="234">
        <f>IF((((J22/L22)*5)/25000)&gt;5,5,(((J22/L22)*5)/25000))</f>
        <v>0</v>
      </c>
      <c r="D23" s="272">
        <f>IF((((J23/L23)*5)/25000)&gt;5,5,(((J23/L23)*5)/25000))</f>
        <v>0.23529411764705882</v>
      </c>
      <c r="E23" s="235" t="s">
        <v>177</v>
      </c>
      <c r="F23" s="280" t="s">
        <v>182</v>
      </c>
      <c r="G23" s="284" t="s">
        <v>185</v>
      </c>
      <c r="H23" s="294">
        <v>58000</v>
      </c>
      <c r="I23" s="284" t="s">
        <v>186</v>
      </c>
      <c r="J23" s="296">
        <v>20000</v>
      </c>
      <c r="K23" s="284" t="s">
        <v>71</v>
      </c>
      <c r="L23" s="285">
        <f>'CDS(สำหรับภาคผนวก) '!D88</f>
        <v>17</v>
      </c>
    </row>
    <row r="24" spans="1:12" ht="22.9" customHeight="1" thickBot="1">
      <c r="A24" s="243" t="s">
        <v>34</v>
      </c>
      <c r="B24" s="60">
        <v>5</v>
      </c>
      <c r="C24" s="277">
        <v>5</v>
      </c>
      <c r="D24" s="48">
        <v>5</v>
      </c>
    </row>
    <row r="25" spans="1:12" ht="24" customHeight="1">
      <c r="A25" s="243" t="s">
        <v>27</v>
      </c>
      <c r="B25" s="60">
        <v>5</v>
      </c>
      <c r="C25" s="277">
        <v>5</v>
      </c>
      <c r="D25" s="48">
        <v>5</v>
      </c>
      <c r="F25" s="300" t="s">
        <v>181</v>
      </c>
      <c r="G25" s="305" t="s">
        <v>187</v>
      </c>
      <c r="H25" s="306">
        <v>3</v>
      </c>
      <c r="I25" s="301" t="s">
        <v>227</v>
      </c>
      <c r="J25" s="315">
        <v>12</v>
      </c>
      <c r="K25" s="316" t="s">
        <v>72</v>
      </c>
      <c r="L25" s="317">
        <f>(H25/J25)*100</f>
        <v>25</v>
      </c>
    </row>
    <row r="26" spans="1:12" ht="24.6" customHeight="1">
      <c r="A26" s="243" t="s">
        <v>28</v>
      </c>
      <c r="B26" s="234">
        <f>IF(((((H25/J25)*100)/40)*5)&gt;5,5,((((H25/J25)*100)/40)*5))</f>
        <v>3.125</v>
      </c>
      <c r="C26" s="234">
        <f>IF(((((H26/J26)*100)/40)*5)&gt;5,5,((((H26/J26)*100)/40)*5))</f>
        <v>0</v>
      </c>
      <c r="D26" s="234">
        <f>IF(((((H27/J27)*100)/40)*5)&gt;5,5,((((H27/J27)*100)/40)*5))</f>
        <v>2.2058823529411766</v>
      </c>
      <c r="E26" s="235" t="s">
        <v>177</v>
      </c>
      <c r="F26" s="298" t="s">
        <v>180</v>
      </c>
      <c r="G26" s="307" t="s">
        <v>187</v>
      </c>
      <c r="H26" s="311">
        <v>0</v>
      </c>
      <c r="I26" s="302" t="s">
        <v>227</v>
      </c>
      <c r="J26" s="312">
        <v>12</v>
      </c>
      <c r="K26" s="299" t="s">
        <v>72</v>
      </c>
      <c r="L26" s="318">
        <f>(H26/J26)*100</f>
        <v>0</v>
      </c>
    </row>
    <row r="27" spans="1:12" ht="22.15" customHeight="1" thickBot="1">
      <c r="A27" s="243" t="s">
        <v>29</v>
      </c>
      <c r="B27" s="233">
        <f>IF(((((H28/J28)*100)/60)*5)&gt;5,5,((((H28/J28)*100)/60)*5))</f>
        <v>3.0303030303030303</v>
      </c>
      <c r="C27" s="234">
        <f>IF(((((H29/J29)*100)/60)*5)&gt;5,5,((((H29/J29)*100)/60)*5))</f>
        <v>4.166666666666667</v>
      </c>
      <c r="D27" s="112">
        <f>IF(((((H30/J30)*100)/60)*5)&gt;5,5,((((H30/J30)*100)/60)*5))</f>
        <v>2.9761904761904763</v>
      </c>
      <c r="E27" s="235" t="s">
        <v>177</v>
      </c>
      <c r="F27" s="297" t="s">
        <v>182</v>
      </c>
      <c r="G27" s="308" t="s">
        <v>187</v>
      </c>
      <c r="H27" s="319">
        <v>3</v>
      </c>
      <c r="I27" s="320" t="s">
        <v>227</v>
      </c>
      <c r="J27" s="321">
        <v>17</v>
      </c>
      <c r="K27" s="322" t="s">
        <v>72</v>
      </c>
      <c r="L27" s="323">
        <f>(H27/J27)*100</f>
        <v>17.647058823529413</v>
      </c>
    </row>
    <row r="28" spans="1:12" ht="23.45" customHeight="1">
      <c r="A28" s="243" t="s">
        <v>30</v>
      </c>
      <c r="B28" s="60">
        <v>4</v>
      </c>
      <c r="C28" s="277">
        <v>4</v>
      </c>
      <c r="D28" s="48">
        <v>4</v>
      </c>
      <c r="F28" s="300" t="s">
        <v>181</v>
      </c>
      <c r="G28" s="305" t="s">
        <v>188</v>
      </c>
      <c r="H28" s="306">
        <v>4</v>
      </c>
      <c r="I28" s="301" t="s">
        <v>226</v>
      </c>
      <c r="J28" s="315">
        <v>11</v>
      </c>
      <c r="K28" s="316" t="s">
        <v>72</v>
      </c>
      <c r="L28" s="317">
        <f>(H28/J28)*100</f>
        <v>36.363636363636367</v>
      </c>
    </row>
    <row r="29" spans="1:12" ht="21" customHeight="1">
      <c r="A29" s="243" t="s">
        <v>31</v>
      </c>
      <c r="B29" s="233">
        <f>'CDS(สำหรับภาคผนวก) '!E107</f>
        <v>3.5650000000000004</v>
      </c>
      <c r="C29" s="234">
        <f>'CDS(สำหรับภาคผนวก) '!E110</f>
        <v>3.33</v>
      </c>
      <c r="D29" s="272">
        <f>'CDS(สำหรับภาคผนวก) '!E115</f>
        <v>3.3766666666666665</v>
      </c>
      <c r="E29" s="235" t="s">
        <v>177</v>
      </c>
      <c r="F29" s="298" t="s">
        <v>180</v>
      </c>
      <c r="G29" s="307" t="s">
        <v>188</v>
      </c>
      <c r="H29" s="311">
        <v>3</v>
      </c>
      <c r="I29" s="302" t="s">
        <v>226</v>
      </c>
      <c r="J29" s="312">
        <v>6</v>
      </c>
      <c r="K29" s="299" t="s">
        <v>72</v>
      </c>
      <c r="L29" s="318">
        <f t="shared" ref="L29:L33" si="0">(H29/J29)*100</f>
        <v>50</v>
      </c>
    </row>
    <row r="30" spans="1:12" ht="24.6" customHeight="1" thickBot="1">
      <c r="A30" s="243" t="s">
        <v>11</v>
      </c>
      <c r="B30" s="60">
        <v>5</v>
      </c>
      <c r="C30" s="277">
        <v>5</v>
      </c>
      <c r="D30" s="48">
        <v>5</v>
      </c>
      <c r="F30" s="303" t="s">
        <v>182</v>
      </c>
      <c r="G30" s="309" t="s">
        <v>188</v>
      </c>
      <c r="H30" s="324">
        <v>5</v>
      </c>
      <c r="I30" s="304" t="s">
        <v>226</v>
      </c>
      <c r="J30" s="325">
        <v>14</v>
      </c>
      <c r="K30" s="326" t="s">
        <v>72</v>
      </c>
      <c r="L30" s="327">
        <f t="shared" si="0"/>
        <v>35.714285714285715</v>
      </c>
    </row>
    <row r="31" spans="1:12" ht="25.9" customHeight="1">
      <c r="A31" s="357" t="s">
        <v>80</v>
      </c>
      <c r="B31" s="354"/>
      <c r="C31" s="355"/>
      <c r="D31" s="356"/>
      <c r="F31" s="328" t="s">
        <v>181</v>
      </c>
      <c r="G31" s="329" t="s">
        <v>223</v>
      </c>
      <c r="H31" s="310">
        <v>11</v>
      </c>
      <c r="I31" s="329" t="s">
        <v>71</v>
      </c>
      <c r="J31" s="330">
        <v>257</v>
      </c>
      <c r="K31" s="329" t="s">
        <v>72</v>
      </c>
      <c r="L31" s="331">
        <f t="shared" si="0"/>
        <v>4.2801556420233462</v>
      </c>
    </row>
    <row r="32" spans="1:12" ht="27.6" customHeight="1" thickBot="1">
      <c r="A32" s="246" t="s">
        <v>32</v>
      </c>
      <c r="B32" s="233">
        <f>IF(((((H31/J31)*100)/20)*5)&gt;5,5,(((((H31/J31)*100)/20)*5)))</f>
        <v>1.0700389105058365</v>
      </c>
      <c r="C32" s="234">
        <f>IF(((((H32/J32)*100)/20)*5)&gt;5,5,((((H32/J32)*100)/20)*5))</f>
        <v>0.5714285714285714</v>
      </c>
      <c r="D32" s="272">
        <f>IF(((((H33/J33)*100)/30)*5)&gt;5,5,((((H33/J33)*100)/30)*5))</f>
        <v>1.1329755515802027</v>
      </c>
      <c r="E32" s="235" t="s">
        <v>177</v>
      </c>
      <c r="F32" s="298" t="s">
        <v>180</v>
      </c>
      <c r="G32" s="299" t="s">
        <v>223</v>
      </c>
      <c r="H32" s="313">
        <v>4</v>
      </c>
      <c r="I32" s="299" t="s">
        <v>71</v>
      </c>
      <c r="J32" s="314">
        <v>175</v>
      </c>
      <c r="K32" s="299" t="s">
        <v>72</v>
      </c>
      <c r="L32" s="318">
        <f t="shared" si="0"/>
        <v>2.2857142857142856</v>
      </c>
    </row>
    <row r="33" spans="1:12" ht="31.5" thickBot="1">
      <c r="A33" s="269" t="s">
        <v>33</v>
      </c>
      <c r="B33" s="270">
        <f>AVERAGE(B32,B30,B29,B28,B27,B26,B25,B24,B23,B22,B21,B20,B19,B17,B15,B13,B12,B10,B9,B8,B7)</f>
        <v>4.0733949677029164</v>
      </c>
      <c r="C33" s="271">
        <f t="shared" ref="C33:D33" si="1">AVERAGE(C32,C30,C29,C28,C27,C26,C25,C24,C23,C22,C21,C20,C19,C17,C15,C13,C12,C10,C9,C8,C7)</f>
        <v>3.7111791383219961</v>
      </c>
      <c r="D33" s="273">
        <f t="shared" si="1"/>
        <v>3.7235737324148501</v>
      </c>
      <c r="F33" s="303" t="s">
        <v>182</v>
      </c>
      <c r="G33" s="326" t="s">
        <v>223</v>
      </c>
      <c r="H33" s="332">
        <v>38</v>
      </c>
      <c r="I33" s="326" t="s">
        <v>71</v>
      </c>
      <c r="J33" s="333">
        <v>559</v>
      </c>
      <c r="K33" s="326" t="s">
        <v>72</v>
      </c>
      <c r="L33" s="327">
        <f t="shared" si="0"/>
        <v>6.7978533094812166</v>
      </c>
    </row>
  </sheetData>
  <sheetProtection algorithmName="SHA-512" hashValue="I+8yv9K0lq+xg6fpD+EBxTr0rLq2cfbhgmSNawgU95eVGID8jFvtxtmgWtr3jltvnDNUELcHrcKxRgZpaNtTUA==" saltValue="qh34ZLM9+3/8vyOAM06ifA==" spinCount="100000" sheet="1" objects="1" scenarios="1"/>
  <mergeCells count="3">
    <mergeCell ref="A3:A5"/>
    <mergeCell ref="B3:D3"/>
    <mergeCell ref="A1:B1"/>
  </mergeCells>
  <dataValidations count="1">
    <dataValidation type="decimal" operator="lessThanOrEqual" allowBlank="1" showErrorMessage="1" errorTitle="บันทึกผิดพลาด" error="คะแนนประเมินต้องไม่เกิน 5" promptTitle="บันทึกผิดพลาด" prompt="คะแนนประเมินต้องไม่เกิน 5" sqref="B30:D30 B7:D8 B12:D12 B17:D17 B19:D21 B24:D25 B28:D28 B10:D10" xr:uid="{00000000-0002-0000-0100-000000000000}">
      <formula1>5</formula1>
    </dataValidation>
  </dataValidations>
  <pageMargins left="0.7" right="0.7" top="0.75" bottom="0.75" header="0.3" footer="0.3"/>
  <pageSetup paperSize="9" scale="87"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CFF"/>
    <pageSetUpPr fitToPage="1"/>
  </sheetPr>
  <dimension ref="A1:I60"/>
  <sheetViews>
    <sheetView zoomScale="70" zoomScaleNormal="70" workbookViewId="0">
      <selection activeCell="F15" sqref="F15"/>
    </sheetView>
  </sheetViews>
  <sheetFormatPr defaultRowHeight="15.6" customHeight="1"/>
  <cols>
    <col min="1" max="1" width="9.28515625" bestFit="1" customWidth="1"/>
    <col min="3" max="3" width="15.140625" customWidth="1"/>
    <col min="4" max="4" width="13.28515625" customWidth="1"/>
    <col min="5" max="5" width="15.140625" customWidth="1"/>
    <col min="6" max="6" width="13.140625" customWidth="1"/>
    <col min="7" max="7" width="27.85546875" customWidth="1"/>
  </cols>
  <sheetData>
    <row r="1" spans="1:9" s="10" customFormat="1" ht="31.5" thickBot="1">
      <c r="A1" s="58" t="s">
        <v>58</v>
      </c>
      <c r="E1" s="288" t="str">
        <f>'CDS(สำหรับภาคผนวก) '!A1</f>
        <v>วิทยาเขต ยะลา</v>
      </c>
      <c r="I1" s="10" t="s">
        <v>67</v>
      </c>
    </row>
    <row r="2" spans="1:9" ht="8.4499999999999993" customHeight="1">
      <c r="A2" s="370" t="s">
        <v>41</v>
      </c>
      <c r="B2" s="374" t="s">
        <v>59</v>
      </c>
      <c r="C2" s="375"/>
      <c r="D2" s="375"/>
      <c r="E2" s="375"/>
      <c r="F2" s="376"/>
      <c r="G2" s="370" t="s">
        <v>33</v>
      </c>
    </row>
    <row r="3" spans="1:9" ht="15.6" customHeight="1">
      <c r="A3" s="371"/>
      <c r="B3" s="372"/>
      <c r="C3" s="377"/>
      <c r="D3" s="377"/>
      <c r="E3" s="377"/>
      <c r="F3" s="378"/>
      <c r="G3" s="371"/>
      <c r="I3" s="55" t="s">
        <v>68</v>
      </c>
    </row>
    <row r="4" spans="1:9" ht="8.4499999999999993" customHeight="1" thickBot="1">
      <c r="A4" s="371"/>
      <c r="B4" s="372"/>
      <c r="C4" s="379"/>
      <c r="D4" s="379"/>
      <c r="E4" s="379"/>
      <c r="F4" s="378"/>
      <c r="G4" s="380"/>
    </row>
    <row r="5" spans="1:9" ht="15.6" customHeight="1">
      <c r="A5" s="372"/>
      <c r="B5" s="381" t="s">
        <v>43</v>
      </c>
      <c r="C5" s="384" t="s">
        <v>44</v>
      </c>
      <c r="D5" s="387" t="s">
        <v>45</v>
      </c>
      <c r="E5" s="390" t="s">
        <v>46</v>
      </c>
      <c r="F5" s="393" t="s">
        <v>47</v>
      </c>
      <c r="G5" s="4" t="s">
        <v>48</v>
      </c>
    </row>
    <row r="6" spans="1:9" ht="15.6" customHeight="1">
      <c r="A6" s="372"/>
      <c r="B6" s="382"/>
      <c r="C6" s="385"/>
      <c r="D6" s="388"/>
      <c r="E6" s="391"/>
      <c r="F6" s="394"/>
      <c r="G6" s="4" t="s">
        <v>49</v>
      </c>
    </row>
    <row r="7" spans="1:9" ht="15.6" customHeight="1">
      <c r="A7" s="372"/>
      <c r="B7" s="382"/>
      <c r="C7" s="385"/>
      <c r="D7" s="388"/>
      <c r="E7" s="391"/>
      <c r="F7" s="394"/>
      <c r="G7" s="4" t="s">
        <v>50</v>
      </c>
    </row>
    <row r="8" spans="1:9" ht="15.6" customHeight="1">
      <c r="A8" s="372"/>
      <c r="B8" s="382"/>
      <c r="C8" s="385"/>
      <c r="D8" s="388"/>
      <c r="E8" s="391"/>
      <c r="F8" s="394"/>
      <c r="G8" s="4" t="s">
        <v>51</v>
      </c>
    </row>
    <row r="9" spans="1:9" ht="15.6" customHeight="1" thickBot="1">
      <c r="A9" s="373"/>
      <c r="B9" s="383"/>
      <c r="C9" s="386"/>
      <c r="D9" s="389"/>
      <c r="E9" s="392"/>
      <c r="F9" s="395"/>
      <c r="G9" s="4" t="s">
        <v>52</v>
      </c>
    </row>
    <row r="10" spans="1:9" ht="31.9" customHeight="1" thickBot="1">
      <c r="A10" s="144">
        <v>1</v>
      </c>
      <c r="B10" s="20">
        <v>4</v>
      </c>
      <c r="C10" s="65" t="s">
        <v>53</v>
      </c>
      <c r="D10" s="18" t="s">
        <v>53</v>
      </c>
      <c r="E10" s="19">
        <f>AVERAGE('ป1 คณะ '!B7:B10)</f>
        <v>4.87</v>
      </c>
      <c r="F10" s="37">
        <f>E10</f>
        <v>4.87</v>
      </c>
      <c r="G10" s="45" t="str">
        <f>IF(AND(F10&gt;=4.51,F10&lt;=5),"การดำเนินงานระดับดีมาก",IF(AND(F10&gt;=3.51,F10&lt;4.51),"การดำเนินงานระดับดี",IF(AND(F10&gt;=2.51,F10&lt;3.51),"การดำเนินงานระดับพอใช้",IF(AND(F10&gt;=1.51,F10&lt;2.51),"การดำเนินงานต้องปรับปรุง",IF(F10&lt;1.51,"การดำเนินงานต้องปรับปรุงเร่งด่วน","")))))</f>
        <v>การดำเนินงานระดับดีมาก</v>
      </c>
    </row>
    <row r="11" spans="1:9" ht="31.9" customHeight="1" thickBot="1">
      <c r="A11" s="145">
        <v>2</v>
      </c>
      <c r="B11" s="2">
        <v>2</v>
      </c>
      <c r="C11" s="66" t="s">
        <v>53</v>
      </c>
      <c r="D11" s="3" t="s">
        <v>53</v>
      </c>
      <c r="E11" s="16">
        <f>AVERAGE('ป1 คณะ '!B12:B13)</f>
        <v>4.177142857142857</v>
      </c>
      <c r="F11" s="38">
        <f>E11</f>
        <v>4.177142857142857</v>
      </c>
      <c r="G11" s="45" t="str">
        <f t="shared" ref="G11:G16" si="0">IF(AND(F11&gt;=4.51,F11&lt;=5),"การดำเนินงานระดับดีมาก",IF(AND(F11&gt;=3.51,F11&lt;4.51),"การดำเนินงานระดับดี",IF(AND(F11&gt;=2.51,F11&lt;3.51),"การดำเนินงานระดับพอใช้",IF(AND(F11&gt;=1.51,F11&lt;2.51),"การดำเนินงานต้องปรับปรุง",IF(F11&lt;1.51,"การดำเนินงานต้องปรับปรุงเร่งด่วน","")))))</f>
        <v>การดำเนินงานระดับดี</v>
      </c>
    </row>
    <row r="12" spans="1:9" ht="31.9" customHeight="1" thickBot="1">
      <c r="A12" s="145">
        <v>3</v>
      </c>
      <c r="B12" s="2">
        <v>1</v>
      </c>
      <c r="C12" s="66" t="s">
        <v>53</v>
      </c>
      <c r="D12" s="3" t="s">
        <v>53</v>
      </c>
      <c r="E12" s="16">
        <f>'ป1 คณะ '!B15</f>
        <v>5</v>
      </c>
      <c r="F12" s="38">
        <f>E12</f>
        <v>5</v>
      </c>
      <c r="G12" s="45" t="str">
        <f t="shared" si="0"/>
        <v>การดำเนินงานระดับดีมาก</v>
      </c>
    </row>
    <row r="13" spans="1:9" ht="31.9" customHeight="1" thickBot="1">
      <c r="A13" s="145">
        <v>4</v>
      </c>
      <c r="B13" s="2">
        <v>1</v>
      </c>
      <c r="C13" s="66" t="s">
        <v>53</v>
      </c>
      <c r="D13" s="3" t="s">
        <v>53</v>
      </c>
      <c r="E13" s="16">
        <f>'ป1 คณะ '!B17</f>
        <v>5</v>
      </c>
      <c r="F13" s="38">
        <f>E13</f>
        <v>5</v>
      </c>
      <c r="G13" s="45" t="str">
        <f t="shared" si="0"/>
        <v>การดำเนินงานระดับดีมาก</v>
      </c>
    </row>
    <row r="14" spans="1:9" ht="31.9" customHeight="1" thickBot="1">
      <c r="A14" s="145">
        <v>5</v>
      </c>
      <c r="B14" s="2">
        <v>12</v>
      </c>
      <c r="C14" s="33">
        <f>AVERAGE('ป1 คณะ '!B22,'ป1 คณะ '!B23,'ป1 คณะ '!B26,'ป1 คณะ '!B27)</f>
        <v>2.2679924242424239</v>
      </c>
      <c r="D14" s="15">
        <f>AVERAGE('ป1 คณะ '!B19:B21,'ป1 คณะ '!B24:B25,'ป1 คณะ '!B28,'ป1 คณะ '!B30)</f>
        <v>4.8571428571428568</v>
      </c>
      <c r="E14" s="16">
        <f>'ป1 คณะ '!B29</f>
        <v>3.5650000000000004</v>
      </c>
      <c r="F14" s="38">
        <f>AVERAGE('ป1 คณะ '!B19:B30)</f>
        <v>3.8864141414141411</v>
      </c>
      <c r="G14" s="45" t="str">
        <f t="shared" si="0"/>
        <v>การดำเนินงานระดับดี</v>
      </c>
    </row>
    <row r="15" spans="1:9" ht="31.9" customHeight="1" thickBot="1">
      <c r="A15" s="146">
        <v>6</v>
      </c>
      <c r="B15" s="5">
        <v>1</v>
      </c>
      <c r="C15" s="67"/>
      <c r="D15" s="13"/>
      <c r="E15" s="17">
        <f>'ป1 คณะ '!B32</f>
        <v>1.0700389105058365</v>
      </c>
      <c r="F15" s="39">
        <f>E15</f>
        <v>1.0700389105058365</v>
      </c>
      <c r="G15" s="45" t="str">
        <f t="shared" si="0"/>
        <v>การดำเนินงานต้องปรับปรุงเร่งด่วน</v>
      </c>
    </row>
    <row r="16" spans="1:9" ht="31.9" customHeight="1" thickBot="1">
      <c r="A16" s="64" t="s">
        <v>54</v>
      </c>
      <c r="B16" s="68">
        <v>21</v>
      </c>
      <c r="C16" s="52">
        <v>4</v>
      </c>
      <c r="D16" s="52">
        <v>7</v>
      </c>
      <c r="E16" s="53">
        <v>10</v>
      </c>
      <c r="F16" s="396">
        <f>AVERAGE('ป1 คณะ '!B7:B10,'ป1 คณะ '!B12:B13,'ป1 คณะ '!B15,'ป1 คณะ '!B17,'ป1 คณะ '!B19:B30,'ป1 คณะ '!B32)</f>
        <v>4.0733949677029173</v>
      </c>
      <c r="G16" s="398" t="str">
        <f t="shared" si="0"/>
        <v>การดำเนินงานระดับดี</v>
      </c>
    </row>
    <row r="17" spans="1:7" ht="19.149999999999999" customHeight="1">
      <c r="A17" s="364" t="s">
        <v>55</v>
      </c>
      <c r="B17" s="365"/>
      <c r="C17" s="400">
        <f>C14</f>
        <v>2.2679924242424239</v>
      </c>
      <c r="D17" s="402">
        <f>D14</f>
        <v>4.8571428571428568</v>
      </c>
      <c r="E17" s="404">
        <f>AVERAGE('ป1 คณะ '!B7:B10,'ป1 คณะ '!B12:B13,'ป1 คณะ '!B15,'ป1 คณะ '!B17,'ป1 คณะ '!B29,'ป1 คณะ '!B32)</f>
        <v>4.2469324624791547</v>
      </c>
      <c r="F17" s="397"/>
      <c r="G17" s="399"/>
    </row>
    <row r="18" spans="1:7" ht="11.45" customHeight="1" thickBot="1">
      <c r="A18" s="366"/>
      <c r="B18" s="367"/>
      <c r="C18" s="401"/>
      <c r="D18" s="403"/>
      <c r="E18" s="405"/>
      <c r="F18" s="397"/>
      <c r="G18" s="399"/>
    </row>
    <row r="19" spans="1:7" ht="62.45" customHeight="1" thickBot="1">
      <c r="A19" s="368"/>
      <c r="B19" s="369"/>
      <c r="C19" s="79" t="str">
        <f>IF(AND(C17&gt;=4.51,C17&lt;=5),"การดำเนินงานระดับดีมาก",IF(AND(C17&gt;=3.51,C17&lt;4.51),"การดำเนินงานระดับดี",IF(AND(C17&gt;=2.51,C17&lt;3.51),"การดำเนินงานระดับพอใช้",IF(AND(C17&gt;=1.51,C17&lt;2.51),"การดำเนินงานต้องปรับปรุง",IF(C17&lt;1.51,"การดำเนินงานต้องปรับปรุงเร่งด่วน","")))))</f>
        <v>การดำเนินงานต้องปรับปรุง</v>
      </c>
      <c r="D19" s="79" t="str">
        <f t="shared" ref="D19:E19" si="1">IF(AND(D17&gt;=4.51,D17&lt;=5),"การดำเนินงานระดับดีมาก",IF(AND(D17&gt;=3.51,D17&lt;4.51),"การดำเนินงานระดับดี",IF(AND(D17&gt;=2.51,D17&lt;3.51),"การดำเนินงานระดับพอใช้",IF(AND(D17&gt;=1.51,D17&lt;2.51),"การดำเนินงานต้องปรับปรุง",IF(D17&lt;1.51,"การดำเนินงานต้องปรับปรุงเร่งด่วน","")))))</f>
        <v>การดำเนินงานระดับดีมาก</v>
      </c>
      <c r="E19" s="79" t="str">
        <f t="shared" si="1"/>
        <v>การดำเนินงานระดับดี</v>
      </c>
      <c r="F19" s="77"/>
      <c r="G19" s="78"/>
    </row>
    <row r="20" spans="1:7" ht="30" customHeight="1"/>
    <row r="21" spans="1:7" ht="28.15" customHeight="1" thickBot="1">
      <c r="A21" s="57" t="s">
        <v>62</v>
      </c>
      <c r="B21" s="10"/>
      <c r="C21" s="289" t="str">
        <f>E1</f>
        <v>วิทยาเขต ยะลา</v>
      </c>
      <c r="D21" s="10"/>
      <c r="E21" s="10"/>
      <c r="F21" s="10"/>
      <c r="G21" s="10"/>
    </row>
    <row r="22" spans="1:7" ht="15.6" customHeight="1">
      <c r="A22" s="370" t="s">
        <v>41</v>
      </c>
      <c r="B22" s="374" t="s">
        <v>59</v>
      </c>
      <c r="C22" s="375"/>
      <c r="D22" s="375"/>
      <c r="E22" s="375"/>
      <c r="F22" s="376"/>
      <c r="G22" s="370" t="s">
        <v>33</v>
      </c>
    </row>
    <row r="23" spans="1:7" ht="15.6" customHeight="1">
      <c r="A23" s="371"/>
      <c r="B23" s="372"/>
      <c r="C23" s="377"/>
      <c r="D23" s="377"/>
      <c r="E23" s="377"/>
      <c r="F23" s="378"/>
      <c r="G23" s="371"/>
    </row>
    <row r="24" spans="1:7" ht="15.6" customHeight="1" thickBot="1">
      <c r="A24" s="371"/>
      <c r="B24" s="372"/>
      <c r="C24" s="379"/>
      <c r="D24" s="379"/>
      <c r="E24" s="379"/>
      <c r="F24" s="378"/>
      <c r="G24" s="380"/>
    </row>
    <row r="25" spans="1:7" ht="15.6" customHeight="1">
      <c r="A25" s="372"/>
      <c r="B25" s="381" t="s">
        <v>43</v>
      </c>
      <c r="C25" s="406" t="s">
        <v>44</v>
      </c>
      <c r="D25" s="409" t="s">
        <v>45</v>
      </c>
      <c r="E25" s="412" t="s">
        <v>46</v>
      </c>
      <c r="F25" s="415" t="s">
        <v>47</v>
      </c>
      <c r="G25" s="4" t="s">
        <v>48</v>
      </c>
    </row>
    <row r="26" spans="1:7" ht="15.6" customHeight="1">
      <c r="A26" s="372"/>
      <c r="B26" s="382"/>
      <c r="C26" s="407"/>
      <c r="D26" s="410"/>
      <c r="E26" s="413"/>
      <c r="F26" s="416"/>
      <c r="G26" s="4" t="s">
        <v>49</v>
      </c>
    </row>
    <row r="27" spans="1:7" ht="15.6" customHeight="1">
      <c r="A27" s="372"/>
      <c r="B27" s="382"/>
      <c r="C27" s="407"/>
      <c r="D27" s="410"/>
      <c r="E27" s="413"/>
      <c r="F27" s="416"/>
      <c r="G27" s="4" t="s">
        <v>50</v>
      </c>
    </row>
    <row r="28" spans="1:7" ht="15.6" customHeight="1">
      <c r="A28" s="372"/>
      <c r="B28" s="382"/>
      <c r="C28" s="407"/>
      <c r="D28" s="410"/>
      <c r="E28" s="413"/>
      <c r="F28" s="416"/>
      <c r="G28" s="4" t="s">
        <v>51</v>
      </c>
    </row>
    <row r="29" spans="1:7" ht="15.6" customHeight="1" thickBot="1">
      <c r="A29" s="373"/>
      <c r="B29" s="383"/>
      <c r="C29" s="408"/>
      <c r="D29" s="411"/>
      <c r="E29" s="414"/>
      <c r="F29" s="417"/>
      <c r="G29" s="4" t="s">
        <v>52</v>
      </c>
    </row>
    <row r="30" spans="1:7" ht="28.5" thickBot="1">
      <c r="A30" s="63">
        <v>1</v>
      </c>
      <c r="B30" s="20">
        <v>4</v>
      </c>
      <c r="C30" s="65" t="s">
        <v>53</v>
      </c>
      <c r="D30" s="18" t="s">
        <v>53</v>
      </c>
      <c r="E30" s="19">
        <f>AVERAGE('ป1 คณะ '!C7:C10)</f>
        <v>4.82</v>
      </c>
      <c r="F30" s="42">
        <f>E30</f>
        <v>4.82</v>
      </c>
      <c r="G30" s="45" t="str">
        <f>IF(AND(F30&gt;=4.51,F30&lt;=5),"การดำเนินงานระดับดีมาก",IF(AND(F30&gt;=3.51,F30&lt;4.51),"การดำเนินงานระดับดี",IF(AND(F30&gt;=2.51,F30&lt;3.51),"การดำเนินงานระดับพอใช้",IF(AND(F30&gt;=1.51,F30&lt;2.51),"การดำเนินงานต้องปรับปรุง",IF(F30&lt;1.51,"การดำเนินงานต้องปรับปรุงเร่งด่วน","")))))</f>
        <v>การดำเนินงานระดับดีมาก</v>
      </c>
    </row>
    <row r="31" spans="1:7" ht="28.5" thickBot="1">
      <c r="A31" s="11">
        <v>2</v>
      </c>
      <c r="B31" s="2">
        <v>2</v>
      </c>
      <c r="C31" s="66" t="s">
        <v>53</v>
      </c>
      <c r="D31" s="3" t="s">
        <v>53</v>
      </c>
      <c r="E31" s="16">
        <f>AVERAGE('ป1 คณะ '!C12:C13)</f>
        <v>2.71</v>
      </c>
      <c r="F31" s="43">
        <f>E31</f>
        <v>2.71</v>
      </c>
      <c r="G31" s="45" t="str">
        <f t="shared" ref="G31:G36" si="2">IF(AND(F31&gt;=4.51,F31&lt;=5),"การดำเนินงานระดับดีมาก",IF(AND(F31&gt;=3.51,F31&lt;4.51),"การดำเนินงานระดับดี",IF(AND(F31&gt;=2.51,F31&lt;3.51),"การดำเนินงานระดับพอใช้",IF(AND(F31&gt;=1.51,F31&lt;2.51),"การดำเนินงานต้องปรับปรุง",IF(F31&lt;1.51,"การดำเนินงานต้องปรับปรุงเร่งด่วน","")))))</f>
        <v>การดำเนินงานระดับพอใช้</v>
      </c>
    </row>
    <row r="32" spans="1:7" ht="28.5" thickBot="1">
      <c r="A32" s="11">
        <v>3</v>
      </c>
      <c r="B32" s="2">
        <v>1</v>
      </c>
      <c r="C32" s="66" t="s">
        <v>53</v>
      </c>
      <c r="D32" s="3" t="s">
        <v>53</v>
      </c>
      <c r="E32" s="16">
        <f>'ป1 คณะ '!C15</f>
        <v>5</v>
      </c>
      <c r="F32" s="43">
        <f>E32</f>
        <v>5</v>
      </c>
      <c r="G32" s="45" t="str">
        <f t="shared" si="2"/>
        <v>การดำเนินงานระดับดีมาก</v>
      </c>
    </row>
    <row r="33" spans="1:7" ht="28.5" thickBot="1">
      <c r="A33" s="11">
        <v>4</v>
      </c>
      <c r="B33" s="2">
        <v>1</v>
      </c>
      <c r="C33" s="66" t="s">
        <v>53</v>
      </c>
      <c r="D33" s="3" t="s">
        <v>53</v>
      </c>
      <c r="E33" s="16">
        <f>'ป1 คณะ '!C17</f>
        <v>5</v>
      </c>
      <c r="F33" s="43">
        <f>E33</f>
        <v>5</v>
      </c>
      <c r="G33" s="45" t="str">
        <f t="shared" si="2"/>
        <v>การดำเนินงานระดับดีมาก</v>
      </c>
    </row>
    <row r="34" spans="1:7" ht="28.5" thickBot="1">
      <c r="A34" s="11">
        <v>5</v>
      </c>
      <c r="B34" s="2">
        <v>12</v>
      </c>
      <c r="C34" s="33">
        <f>AVERAGE('ป1 คณะ '!C22,'ป1 คณะ '!C23,'ป1 คณะ '!C26,'ป1 คณะ '!C27)</f>
        <v>1.3333333333333335</v>
      </c>
      <c r="D34" s="15">
        <f>AVERAGE('ป1 คณะ '!C19,'ป1 คณะ '!C20,'ป1 คณะ '!C21,'ป1 คณะ '!C24,'ป1 คณะ '!C25,'ป1 คณะ '!C28,'ป1 คณะ '!C30)</f>
        <v>4.8571428571428568</v>
      </c>
      <c r="E34" s="16">
        <f>'ป1 คณะ '!C29</f>
        <v>3.33</v>
      </c>
      <c r="F34" s="43">
        <f>AVERAGE('ป1 คณะ '!C19:C30)</f>
        <v>3.555277777777778</v>
      </c>
      <c r="G34" s="45" t="str">
        <f t="shared" si="2"/>
        <v>การดำเนินงานระดับดี</v>
      </c>
    </row>
    <row r="35" spans="1:7" ht="48.75" thickBot="1">
      <c r="A35" s="12">
        <v>6</v>
      </c>
      <c r="B35" s="5">
        <v>1</v>
      </c>
      <c r="C35" s="67"/>
      <c r="D35" s="13"/>
      <c r="E35" s="17">
        <f>'ป1 คณะ '!C32</f>
        <v>0.5714285714285714</v>
      </c>
      <c r="F35" s="44">
        <f>E35</f>
        <v>0.5714285714285714</v>
      </c>
      <c r="G35" s="45" t="str">
        <f t="shared" si="2"/>
        <v>การดำเนินงานต้องปรับปรุงเร่งด่วน</v>
      </c>
    </row>
    <row r="36" spans="1:7" ht="48.75" thickBot="1">
      <c r="A36" s="64" t="s">
        <v>54</v>
      </c>
      <c r="B36" s="69">
        <v>21</v>
      </c>
      <c r="C36" s="7">
        <v>4</v>
      </c>
      <c r="D36" s="8">
        <v>7</v>
      </c>
      <c r="E36" s="9">
        <v>10</v>
      </c>
      <c r="F36" s="418">
        <f>AVERAGE('ป1 คณะ '!C7,'ป1 คณะ '!C8,'ป1 คณะ '!C9,'ป1 คณะ '!C10,'ป1 คณะ '!C12,'ป1 คณะ '!C13,'ป1 คณะ '!C15,'ป1 คณะ '!C17,'ป1 คณะ '!C19,'ป1 คณะ '!C20,'ป1 คณะ '!C21,'ป1 คณะ '!C22,'ป1 คณะ '!C23,'ป1 คณะ '!C24,'ป1 คณะ '!C25,'ป1 คณะ '!C26,'ป1 คณะ '!C27,'ป1 คณะ '!C28,'ป1 คณะ '!C29,'ป1 คณะ '!C30,'ป1 คณะ '!C32)</f>
        <v>3.7111791383219952</v>
      </c>
      <c r="G36" s="420" t="str">
        <f t="shared" si="2"/>
        <v>การดำเนินงานระดับดี</v>
      </c>
    </row>
    <row r="37" spans="1:7" ht="13.9" customHeight="1">
      <c r="A37" s="364" t="s">
        <v>55</v>
      </c>
      <c r="B37" s="365"/>
      <c r="C37" s="422">
        <f>C34</f>
        <v>1.3333333333333335</v>
      </c>
      <c r="D37" s="424">
        <f>D34</f>
        <v>4.8571428571428568</v>
      </c>
      <c r="E37" s="426">
        <f>AVERAGE('ป1 คณะ '!C7:C10,'ป1 คณะ '!C7:C10,'ป1 คณะ '!C12:C13,'ป1 คณะ '!C15,'ป1 คณะ '!C17,'ป1 คณะ '!C29,'ป1 คณะ '!C32)</f>
        <v>4.1343877551020407</v>
      </c>
      <c r="F37" s="419"/>
      <c r="G37" s="421"/>
    </row>
    <row r="38" spans="1:7" ht="14.45" customHeight="1" thickBot="1">
      <c r="A38" s="366"/>
      <c r="B38" s="367"/>
      <c r="C38" s="423"/>
      <c r="D38" s="425"/>
      <c r="E38" s="427"/>
      <c r="F38" s="419"/>
      <c r="G38" s="421"/>
    </row>
    <row r="39" spans="1:7" ht="67.900000000000006" customHeight="1" thickBot="1">
      <c r="A39" s="368"/>
      <c r="B39" s="369"/>
      <c r="C39" s="74" t="str">
        <f>IF(AND(C37&gt;=4.51,C37&lt;=5),"การดำเนินงานระดับดีมาก",IF(AND(C37&gt;=3.51,C37&lt;4.51),"การดำเนินงานระดับดี",IF(AND(C37&gt;=2.51,C37&lt;3.51),"การดำเนินงานระดับพอใช้",IF(AND(C37&gt;=1.51,C37&lt;2.51),"การดำเนินงานต้องปรับปรุง",IF(C37&lt;1.51,"การดำเนินงานต้องปรับปรุงเร่งด่วน","")))))</f>
        <v>การดำเนินงานต้องปรับปรุงเร่งด่วน</v>
      </c>
      <c r="D39" s="74" t="str">
        <f t="shared" ref="D39:E39" si="3">IF(AND(D37&gt;=4.51,D37&lt;=5),"การดำเนินงานระดับดีมาก",IF(AND(D37&gt;=3.51,D37&lt;4.51),"การดำเนินงานระดับดี",IF(AND(D37&gt;=2.51,D37&lt;3.51),"การดำเนินงานระดับพอใช้",IF(AND(D37&gt;=1.51,D37&lt;2.51),"การดำเนินงานต้องปรับปรุง",IF(D37&lt;1.51,"การดำเนินงานต้องปรับปรุงเร่งด่วน","")))))</f>
        <v>การดำเนินงานระดับดีมาก</v>
      </c>
      <c r="E39" s="74" t="str">
        <f t="shared" si="3"/>
        <v>การดำเนินงานระดับดี</v>
      </c>
      <c r="F39" s="61"/>
      <c r="G39" s="62"/>
    </row>
    <row r="41" spans="1:7" ht="25.9" customHeight="1"/>
    <row r="42" spans="1:7" ht="28.9" customHeight="1" thickBot="1">
      <c r="A42" s="56" t="s">
        <v>63</v>
      </c>
      <c r="B42" s="10"/>
      <c r="C42" s="56" t="str">
        <f>C21</f>
        <v>วิทยาเขต ยะลา</v>
      </c>
      <c r="D42" s="10"/>
      <c r="E42" s="10"/>
      <c r="F42" s="10"/>
      <c r="G42" s="10"/>
    </row>
    <row r="43" spans="1:7" ht="15.6" customHeight="1">
      <c r="A43" s="370" t="s">
        <v>41</v>
      </c>
      <c r="B43" s="374" t="s">
        <v>59</v>
      </c>
      <c r="C43" s="375"/>
      <c r="D43" s="375"/>
      <c r="E43" s="375"/>
      <c r="F43" s="376"/>
      <c r="G43" s="370" t="s">
        <v>33</v>
      </c>
    </row>
    <row r="44" spans="1:7" ht="15.6" customHeight="1">
      <c r="A44" s="371"/>
      <c r="B44" s="372"/>
      <c r="C44" s="377"/>
      <c r="D44" s="377"/>
      <c r="E44" s="377"/>
      <c r="F44" s="378"/>
      <c r="G44" s="371"/>
    </row>
    <row r="45" spans="1:7" ht="15.6" customHeight="1" thickBot="1">
      <c r="A45" s="371"/>
      <c r="B45" s="372"/>
      <c r="C45" s="379"/>
      <c r="D45" s="379"/>
      <c r="E45" s="379"/>
      <c r="F45" s="378"/>
      <c r="G45" s="380"/>
    </row>
    <row r="46" spans="1:7" ht="15.6" customHeight="1">
      <c r="A46" s="372"/>
      <c r="B46" s="430" t="s">
        <v>43</v>
      </c>
      <c r="C46" s="433" t="s">
        <v>44</v>
      </c>
      <c r="D46" s="436" t="s">
        <v>45</v>
      </c>
      <c r="E46" s="439" t="s">
        <v>46</v>
      </c>
      <c r="F46" s="442" t="s">
        <v>47</v>
      </c>
      <c r="G46" s="4" t="s">
        <v>48</v>
      </c>
    </row>
    <row r="47" spans="1:7" ht="15.6" customHeight="1">
      <c r="A47" s="372"/>
      <c r="B47" s="431"/>
      <c r="C47" s="434"/>
      <c r="D47" s="437"/>
      <c r="E47" s="440"/>
      <c r="F47" s="443"/>
      <c r="G47" s="4" t="s">
        <v>49</v>
      </c>
    </row>
    <row r="48" spans="1:7" ht="15.6" customHeight="1">
      <c r="A48" s="372"/>
      <c r="B48" s="431"/>
      <c r="C48" s="434"/>
      <c r="D48" s="437"/>
      <c r="E48" s="440"/>
      <c r="F48" s="443"/>
      <c r="G48" s="4" t="s">
        <v>50</v>
      </c>
    </row>
    <row r="49" spans="1:7" ht="15.6" customHeight="1">
      <c r="A49" s="372"/>
      <c r="B49" s="431"/>
      <c r="C49" s="434"/>
      <c r="D49" s="437"/>
      <c r="E49" s="440"/>
      <c r="F49" s="443"/>
      <c r="G49" s="4" t="s">
        <v>51</v>
      </c>
    </row>
    <row r="50" spans="1:7" ht="19.5" thickBot="1">
      <c r="A50" s="373"/>
      <c r="B50" s="432"/>
      <c r="C50" s="435"/>
      <c r="D50" s="438"/>
      <c r="E50" s="441"/>
      <c r="F50" s="444"/>
      <c r="G50" s="4" t="s">
        <v>52</v>
      </c>
    </row>
    <row r="51" spans="1:7" ht="28.5" thickBot="1">
      <c r="A51" s="63">
        <v>1</v>
      </c>
      <c r="B51" s="70">
        <v>4</v>
      </c>
      <c r="C51" s="65" t="s">
        <v>53</v>
      </c>
      <c r="D51" s="18" t="s">
        <v>53</v>
      </c>
      <c r="E51" s="19">
        <f>AVERAGE('ป1 คณะ '!D7:D10)</f>
        <v>4.8808333333333334</v>
      </c>
      <c r="F51" s="49">
        <f>E51</f>
        <v>4.8808333333333334</v>
      </c>
      <c r="G51" s="45" t="str">
        <f>IF(AND(F51&gt;=4.51,F51&lt;=5),"การดำเนินงานระดับดีมาก",IF(AND(F51&gt;=3.51,F51&lt;4.51),"การดำเนินงานระดับดี",IF(AND(F51&gt;=2.51,F51&lt;3.51),"การดำเนินงานระดับพอใช้",IF(AND(F51&gt;=1.51,F51&lt;2.51),"การดำเนินงานต้องปรับปรุง",IF(F51&lt;1.51,"การดำเนินงานต้องปรับปรุงเร่งด่วน","")))))</f>
        <v>การดำเนินงานระดับดีมาก</v>
      </c>
    </row>
    <row r="52" spans="1:7" ht="28.5" thickBot="1">
      <c r="A52" s="11">
        <v>2</v>
      </c>
      <c r="B52" s="71">
        <v>2</v>
      </c>
      <c r="C52" s="66" t="s">
        <v>53</v>
      </c>
      <c r="D52" s="3" t="s">
        <v>53</v>
      </c>
      <c r="E52" s="16">
        <f>AVERAGE('ป1 คณะ '!D12:D13)</f>
        <v>1.69</v>
      </c>
      <c r="F52" s="50">
        <f>E52</f>
        <v>1.69</v>
      </c>
      <c r="G52" s="45" t="str">
        <f t="shared" ref="G52:G57" si="4">IF(AND(F52&gt;=4.51,F52&lt;=5),"การดำเนินงานระดับดีมาก",IF(AND(F52&gt;=3.51,F52&lt;4.51),"การดำเนินงานระดับดี",IF(AND(F52&gt;=2.51,F52&lt;3.51),"การดำเนินงานระดับพอใช้",IF(AND(F52&gt;=1.51,F52&lt;2.51),"การดำเนินงานต้องปรับปรุง",IF(F52&lt;1.51,"การดำเนินงานต้องปรับปรุงเร่งด่วน","")))))</f>
        <v>การดำเนินงานต้องปรับปรุง</v>
      </c>
    </row>
    <row r="53" spans="1:7" ht="28.5" thickBot="1">
      <c r="A53" s="11">
        <v>3</v>
      </c>
      <c r="B53" s="71">
        <v>1</v>
      </c>
      <c r="C53" s="66" t="s">
        <v>53</v>
      </c>
      <c r="D53" s="3" t="s">
        <v>53</v>
      </c>
      <c r="E53" s="16">
        <f>'ป1 คณะ '!D15</f>
        <v>5</v>
      </c>
      <c r="F53" s="50">
        <f>E53</f>
        <v>5</v>
      </c>
      <c r="G53" s="45" t="str">
        <f t="shared" si="4"/>
        <v>การดำเนินงานระดับดีมาก</v>
      </c>
    </row>
    <row r="54" spans="1:7" ht="28.5" thickBot="1">
      <c r="A54" s="11">
        <v>4</v>
      </c>
      <c r="B54" s="71">
        <v>1</v>
      </c>
      <c r="C54" s="66" t="s">
        <v>53</v>
      </c>
      <c r="D54" s="3" t="s">
        <v>53</v>
      </c>
      <c r="E54" s="16">
        <f>'ป1 คณะ '!D17</f>
        <v>5</v>
      </c>
      <c r="F54" s="50">
        <f>E54</f>
        <v>5</v>
      </c>
      <c r="G54" s="45" t="str">
        <f t="shared" si="4"/>
        <v>การดำเนินงานระดับดีมาก</v>
      </c>
    </row>
    <row r="55" spans="1:7" ht="28.5" thickBot="1">
      <c r="A55" s="11">
        <v>5</v>
      </c>
      <c r="B55" s="71">
        <v>12</v>
      </c>
      <c r="C55" s="33">
        <f>AVERAGE('ป1 คณะ '!D22:D23,'ป1 คณะ '!D26:D27)</f>
        <v>1.6955182072829134</v>
      </c>
      <c r="D55" s="15">
        <f>AVERAGE('ป1 คณะ '!D19:D21,'ป1 คณะ '!D24:D25,'ป1 คณะ '!D28,'ป1 คณะ '!D30)</f>
        <v>4.8571428571428568</v>
      </c>
      <c r="E55" s="16">
        <f>'ป1 คณะ '!D29</f>
        <v>3.3766666666666665</v>
      </c>
      <c r="F55" s="50">
        <f>AVERAGE('ป1 คณะ '!D19:D30)</f>
        <v>3.6798949579831928</v>
      </c>
      <c r="G55" s="45" t="str">
        <f t="shared" si="4"/>
        <v>การดำเนินงานระดับดี</v>
      </c>
    </row>
    <row r="56" spans="1:7" ht="48.75" thickBot="1">
      <c r="A56" s="12">
        <v>6</v>
      </c>
      <c r="B56" s="72">
        <v>1</v>
      </c>
      <c r="C56" s="67"/>
      <c r="D56" s="13"/>
      <c r="E56" s="17">
        <f>'ป1 คณะ '!D32</f>
        <v>1.1329755515802027</v>
      </c>
      <c r="F56" s="51">
        <f>E56</f>
        <v>1.1329755515802027</v>
      </c>
      <c r="G56" s="45" t="str">
        <f t="shared" si="4"/>
        <v>การดำเนินงานต้องปรับปรุงเร่งด่วน</v>
      </c>
    </row>
    <row r="57" spans="1:7" ht="48.75" thickBot="1">
      <c r="A57" s="64" t="s">
        <v>54</v>
      </c>
      <c r="B57" s="73">
        <v>21</v>
      </c>
      <c r="C57" s="40">
        <v>4</v>
      </c>
      <c r="D57" s="40">
        <v>7</v>
      </c>
      <c r="E57" s="41">
        <v>10</v>
      </c>
      <c r="F57" s="451">
        <f>AVERAGE('ป1 คณะ '!D7:D10,'ป1 คณะ '!D12:D13,'ป1 คณะ '!D15,'ป1 คณะ '!D17,'ป1 คณะ '!D19:D30,'ป1 คณะ '!D32)</f>
        <v>3.7235737324148501</v>
      </c>
      <c r="G57" s="428" t="str">
        <f t="shared" si="4"/>
        <v>การดำเนินงานระดับดี</v>
      </c>
    </row>
    <row r="58" spans="1:7" ht="13.9" customHeight="1">
      <c r="A58" s="364" t="s">
        <v>55</v>
      </c>
      <c r="B58" s="365"/>
      <c r="C58" s="445">
        <f>C55</f>
        <v>1.6955182072829134</v>
      </c>
      <c r="D58" s="447">
        <f>D55</f>
        <v>4.8571428571428568</v>
      </c>
      <c r="E58" s="449">
        <f>AVERAGE('ป1 คณะ '!D7:D10,'ป1 คณะ '!D12:D13,'ป1 คณะ '!D15,'ป1 คณะ '!D17,'ป1 คณะ '!D29,'ป1 คณะ '!D32)</f>
        <v>3.7412975551580203</v>
      </c>
      <c r="F58" s="452"/>
      <c r="G58" s="429"/>
    </row>
    <row r="59" spans="1:7" ht="15.6" customHeight="1" thickBot="1">
      <c r="A59" s="366"/>
      <c r="B59" s="367"/>
      <c r="C59" s="446"/>
      <c r="D59" s="448"/>
      <c r="E59" s="450"/>
      <c r="F59" s="452"/>
      <c r="G59" s="429"/>
    </row>
    <row r="60" spans="1:7" ht="70.900000000000006" customHeight="1" thickBot="1">
      <c r="A60" s="368"/>
      <c r="B60" s="369"/>
      <c r="C60" s="80" t="str">
        <f>IF(AND(C58&gt;=4.51,C58&lt;=5),"การดำเนินงานระดับดีมาก",IF(AND(C58&gt;=3.51,C58&lt;4.51),"การดำเนินงานระดับดี",IF(AND(C58&gt;=2.51,C58&lt;3.51),"การดำเนินงานระดับพอใช้",IF(AND(C58&gt;=1.51,C58&lt;2.51),"การดำเนินงานต้องปรับปรุง",IF(C58&lt;1.51,"การดำเนินงานต้องปรับปรุงเร่งด่วน","")))))</f>
        <v>การดำเนินงานต้องปรับปรุง</v>
      </c>
      <c r="D60" s="80" t="str">
        <f t="shared" ref="D60:E60" si="5">IF(AND(D58&gt;=4.51,D58&lt;=5),"การดำเนินงานระดับดีมาก",IF(AND(D58&gt;=3.51,D58&lt;4.51),"การดำเนินงานระดับดี",IF(AND(D58&gt;=2.51,D58&lt;3.51),"การดำเนินงานระดับพอใช้",IF(AND(D58&gt;=1.51,D58&lt;2.51),"การดำเนินงานต้องปรับปรุง",IF(D58&lt;1.51,"การดำเนินงานต้องปรับปรุงเร่งด่วน","")))))</f>
        <v>การดำเนินงานระดับดีมาก</v>
      </c>
      <c r="E60" s="80" t="str">
        <f t="shared" si="5"/>
        <v>การดำเนินงานระดับดี</v>
      </c>
      <c r="F60" s="75"/>
      <c r="G60" s="76"/>
    </row>
  </sheetData>
  <sheetProtection algorithmName="SHA-512" hashValue="VJd2Da1WTK7/zDqBtETNNYnF5fsItn9w5jxIt0VfT69Yp4Rhj0duKmnIsmFDWxDgt/wUMwhDDERF+q7bO6Eveg==" saltValue="fFfC7qWIFMxkt0UdMjBUeQ==" spinCount="100000" sheet="1" objects="1" scenarios="1"/>
  <mergeCells count="42">
    <mergeCell ref="A43:A50"/>
    <mergeCell ref="A58:B60"/>
    <mergeCell ref="G57:G59"/>
    <mergeCell ref="B43:F45"/>
    <mergeCell ref="G43:G45"/>
    <mergeCell ref="B46:B50"/>
    <mergeCell ref="C46:C50"/>
    <mergeCell ref="D46:D50"/>
    <mergeCell ref="E46:E50"/>
    <mergeCell ref="F46:F50"/>
    <mergeCell ref="C58:C59"/>
    <mergeCell ref="D58:D59"/>
    <mergeCell ref="E58:E59"/>
    <mergeCell ref="F57:F59"/>
    <mergeCell ref="A37:B39"/>
    <mergeCell ref="A22:A29"/>
    <mergeCell ref="B22:F24"/>
    <mergeCell ref="G22:G24"/>
    <mergeCell ref="B25:B29"/>
    <mergeCell ref="C25:C29"/>
    <mergeCell ref="D25:D29"/>
    <mergeCell ref="E25:E29"/>
    <mergeCell ref="F25:F29"/>
    <mergeCell ref="F36:F38"/>
    <mergeCell ref="G36:G38"/>
    <mergeCell ref="C37:C38"/>
    <mergeCell ref="D37:D38"/>
    <mergeCell ref="E37:E38"/>
    <mergeCell ref="A17:B19"/>
    <mergeCell ref="A2:A9"/>
    <mergeCell ref="B2:F4"/>
    <mergeCell ref="G2:G4"/>
    <mergeCell ref="B5:B9"/>
    <mergeCell ref="C5:C9"/>
    <mergeCell ref="D5:D9"/>
    <mergeCell ref="E5:E9"/>
    <mergeCell ref="F5:F9"/>
    <mergeCell ref="F16:F18"/>
    <mergeCell ref="G16:G18"/>
    <mergeCell ref="C17:C18"/>
    <mergeCell ref="D17:D18"/>
    <mergeCell ref="E17:E18"/>
  </mergeCell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J38"/>
  <sheetViews>
    <sheetView zoomScale="80" zoomScaleNormal="80" workbookViewId="0">
      <pane xSplit="1" ySplit="4" topLeftCell="B8" activePane="bottomRight" state="frozen"/>
      <selection pane="topRight" activeCell="C1" sqref="C1"/>
      <selection pane="bottomLeft" activeCell="A6" sqref="A6"/>
      <selection pane="bottomRight" activeCell="H13" sqref="H13"/>
    </sheetView>
  </sheetViews>
  <sheetFormatPr defaultRowHeight="27.75"/>
  <cols>
    <col min="1" max="1" width="67.28515625" bestFit="1" customWidth="1"/>
    <col min="2" max="2" width="14.7109375" style="46" customWidth="1"/>
    <col min="3" max="3" width="19.28515625" style="46" customWidth="1"/>
    <col min="4" max="4" width="11.85546875" customWidth="1"/>
    <col min="5" max="5" width="4.85546875" bestFit="1" customWidth="1"/>
    <col min="6" max="6" width="11.28515625" bestFit="1" customWidth="1"/>
    <col min="7" max="7" width="5.85546875" bestFit="1" customWidth="1"/>
    <col min="8" max="8" width="10" customWidth="1"/>
    <col min="9" max="9" width="5.7109375" bestFit="1" customWidth="1"/>
    <col min="10" max="10" width="7.85546875" customWidth="1"/>
  </cols>
  <sheetData>
    <row r="1" spans="1:10">
      <c r="A1" s="459" t="str">
        <f>'CDS(สำหรับภาคผนวก) '!A1</f>
        <v>วิทยาเขต ยะลา</v>
      </c>
      <c r="B1" s="459"/>
    </row>
    <row r="2" spans="1:10" ht="13.9" customHeight="1" thickBot="1"/>
    <row r="3" spans="1:10" ht="49.9" customHeight="1">
      <c r="A3" s="96" t="s">
        <v>35</v>
      </c>
      <c r="B3" s="129" t="s">
        <v>82</v>
      </c>
      <c r="C3" s="130" t="s">
        <v>74</v>
      </c>
    </row>
    <row r="4" spans="1:10">
      <c r="A4" s="97" t="s">
        <v>75</v>
      </c>
      <c r="B4" s="109"/>
      <c r="C4" s="103"/>
    </row>
    <row r="5" spans="1:10">
      <c r="A5" s="98" t="s">
        <v>65</v>
      </c>
      <c r="B5" s="110">
        <f>SUM('ป1 คณะ '!B7:D7)/3</f>
        <v>4.5277777777777777</v>
      </c>
      <c r="C5" s="104"/>
      <c r="D5" s="54"/>
    </row>
    <row r="6" spans="1:10" ht="48">
      <c r="A6" s="98" t="s">
        <v>0</v>
      </c>
      <c r="B6" s="110">
        <f>SUM('ป1 คณะ '!B8:D8)/3</f>
        <v>5</v>
      </c>
      <c r="C6" s="104"/>
      <c r="D6" s="54"/>
    </row>
    <row r="7" spans="1:10" ht="25.15" customHeight="1">
      <c r="A7" s="99" t="s">
        <v>66</v>
      </c>
      <c r="B7" s="110">
        <f>SUM('ป1 คณะ '!B9:D9)/3</f>
        <v>5</v>
      </c>
      <c r="C7" s="104"/>
      <c r="D7" s="54"/>
    </row>
    <row r="8" spans="1:10">
      <c r="A8" s="99" t="s">
        <v>1</v>
      </c>
      <c r="B8" s="110">
        <f>SUM('ป1 คณะ '!B10:D10)/3</f>
        <v>4.8999999999999995</v>
      </c>
      <c r="C8" s="104"/>
      <c r="D8" s="54"/>
    </row>
    <row r="9" spans="1:10">
      <c r="A9" s="100" t="s">
        <v>76</v>
      </c>
      <c r="B9" s="111"/>
      <c r="C9" s="105"/>
      <c r="D9" s="54"/>
    </row>
    <row r="10" spans="1:10" ht="24.6" customHeight="1">
      <c r="A10" s="99" t="s">
        <v>2</v>
      </c>
      <c r="B10" s="110">
        <f>SUM('ป1 คณะ '!B12:D12)/3</f>
        <v>2.5633333333333335</v>
      </c>
      <c r="C10" s="104"/>
      <c r="D10" s="54"/>
    </row>
    <row r="11" spans="1:10">
      <c r="A11" s="99" t="s">
        <v>3</v>
      </c>
      <c r="B11" s="112">
        <f>IF(((((F11/H11)*100)/80)*5)&gt;5,5,((((F11/H11)*100)/80)*5))</f>
        <v>2.6785714285714284</v>
      </c>
      <c r="C11" s="104"/>
      <c r="D11" s="81" t="s">
        <v>69</v>
      </c>
      <c r="E11" s="82" t="s">
        <v>70</v>
      </c>
      <c r="F11" s="83">
        <v>6</v>
      </c>
      <c r="G11" s="82" t="s">
        <v>71</v>
      </c>
      <c r="H11" s="83">
        <v>14</v>
      </c>
      <c r="I11" s="82" t="s">
        <v>72</v>
      </c>
      <c r="J11" s="84">
        <f>(F11/H11)*100</f>
        <v>42.857142857142854</v>
      </c>
    </row>
    <row r="12" spans="1:10" ht="22.9" customHeight="1">
      <c r="A12" s="97" t="s">
        <v>77</v>
      </c>
      <c r="B12" s="111"/>
      <c r="C12" s="105"/>
    </row>
    <row r="13" spans="1:10" ht="18" customHeight="1">
      <c r="A13" s="99" t="s">
        <v>22</v>
      </c>
      <c r="B13" s="113">
        <f>IF(((((F13/H13)*100)/90)*5)&gt;5,5,((((F13/H13)*100)/90)*5))</f>
        <v>5</v>
      </c>
      <c r="C13" s="104"/>
      <c r="D13" s="87" t="s">
        <v>69</v>
      </c>
      <c r="E13" s="88" t="s">
        <v>70</v>
      </c>
      <c r="F13" s="85">
        <v>141289</v>
      </c>
      <c r="G13" s="91" t="s">
        <v>71</v>
      </c>
      <c r="H13" s="86">
        <v>130800</v>
      </c>
      <c r="I13" s="91" t="s">
        <v>72</v>
      </c>
      <c r="J13" s="84">
        <f>(F13/H13)*100</f>
        <v>108.01911314984709</v>
      </c>
    </row>
    <row r="14" spans="1:10" ht="18" customHeight="1">
      <c r="A14" s="99" t="s">
        <v>4</v>
      </c>
      <c r="B14" s="124">
        <f>IF(((((F14/H14)*100)/80)*5)&gt;5,5,((((F14/H14)*100)/80)*5))</f>
        <v>5</v>
      </c>
      <c r="C14" s="104"/>
      <c r="D14" s="89" t="s">
        <v>69</v>
      </c>
      <c r="E14" s="90" t="s">
        <v>70</v>
      </c>
      <c r="F14" s="92">
        <v>0.8</v>
      </c>
      <c r="G14" s="90" t="s">
        <v>71</v>
      </c>
      <c r="H14" s="83">
        <v>1</v>
      </c>
      <c r="I14" s="91" t="s">
        <v>72</v>
      </c>
      <c r="J14" s="84">
        <f>(F14/H14)*100</f>
        <v>80</v>
      </c>
    </row>
    <row r="15" spans="1:10" ht="24" customHeight="1">
      <c r="A15" s="97" t="s">
        <v>78</v>
      </c>
      <c r="B15" s="114"/>
      <c r="C15" s="106"/>
    </row>
    <row r="16" spans="1:10">
      <c r="A16" s="101" t="s">
        <v>5</v>
      </c>
      <c r="B16" s="112">
        <f>IF(((((F16/H16)*100)/100)*5)&gt;5,5,((((F16/H16)*100)/100)*5))</f>
        <v>5</v>
      </c>
      <c r="C16" s="104"/>
      <c r="D16" s="81" t="s">
        <v>69</v>
      </c>
      <c r="E16" s="82" t="s">
        <v>70</v>
      </c>
      <c r="F16" s="83">
        <v>6</v>
      </c>
      <c r="G16" s="82" t="s">
        <v>71</v>
      </c>
      <c r="H16" s="83">
        <v>6</v>
      </c>
      <c r="I16" s="82" t="s">
        <v>72</v>
      </c>
      <c r="J16" s="84">
        <f>(F16/H16)*100</f>
        <v>100</v>
      </c>
    </row>
    <row r="17" spans="1:10">
      <c r="A17" s="97" t="s">
        <v>79</v>
      </c>
      <c r="B17" s="115"/>
      <c r="C17" s="107"/>
    </row>
    <row r="18" spans="1:10">
      <c r="A18" s="101" t="s">
        <v>36</v>
      </c>
      <c r="B18" s="116">
        <v>5</v>
      </c>
      <c r="C18" s="123" t="s">
        <v>224</v>
      </c>
      <c r="D18" s="95" t="s">
        <v>73</v>
      </c>
    </row>
    <row r="19" spans="1:10">
      <c r="A19" s="101" t="s">
        <v>6</v>
      </c>
      <c r="B19" s="116">
        <v>5</v>
      </c>
      <c r="C19" s="123" t="s">
        <v>224</v>
      </c>
      <c r="D19" s="95" t="s">
        <v>73</v>
      </c>
    </row>
    <row r="20" spans="1:10">
      <c r="A20" s="101" t="s">
        <v>7</v>
      </c>
      <c r="B20" s="110">
        <f>SUM('ป1 คณะ '!B22:D22)/3</f>
        <v>1.427124183006536</v>
      </c>
      <c r="C20" s="108"/>
    </row>
    <row r="21" spans="1:10">
      <c r="A21" s="101" t="s">
        <v>57</v>
      </c>
      <c r="B21" s="110">
        <f>SUM('ป1 คณะ '!B23:D23)/3</f>
        <v>0.46732026143790845</v>
      </c>
      <c r="C21" s="108"/>
    </row>
    <row r="22" spans="1:10" ht="27" customHeight="1">
      <c r="A22" s="101" t="s">
        <v>8</v>
      </c>
      <c r="B22" s="116">
        <v>5</v>
      </c>
      <c r="C22" s="123" t="s">
        <v>225</v>
      </c>
      <c r="D22" s="95" t="s">
        <v>73</v>
      </c>
    </row>
    <row r="23" spans="1:10" ht="22.9" customHeight="1">
      <c r="A23" s="101" t="s">
        <v>9</v>
      </c>
      <c r="B23" s="116">
        <v>5</v>
      </c>
      <c r="C23" s="123" t="s">
        <v>225</v>
      </c>
      <c r="D23" s="95" t="s">
        <v>73</v>
      </c>
    </row>
    <row r="24" spans="1:10" ht="24.6" customHeight="1">
      <c r="A24" s="101" t="s">
        <v>37</v>
      </c>
      <c r="B24" s="112">
        <f>IF(((((F24/H24)*100)/40)*5)&gt;5,5,((((F24/H24)*100)/40)*5))</f>
        <v>1.8292682926829267</v>
      </c>
      <c r="C24" s="108"/>
      <c r="D24" s="81" t="s">
        <v>69</v>
      </c>
      <c r="E24" s="82" t="s">
        <v>70</v>
      </c>
      <c r="F24" s="83">
        <v>6</v>
      </c>
      <c r="G24" s="82" t="s">
        <v>71</v>
      </c>
      <c r="H24" s="83">
        <v>41</v>
      </c>
      <c r="I24" s="82" t="s">
        <v>72</v>
      </c>
      <c r="J24" s="84">
        <f>(F24/H24)*100</f>
        <v>14.634146341463413</v>
      </c>
    </row>
    <row r="25" spans="1:10">
      <c r="A25" s="99" t="s">
        <v>38</v>
      </c>
      <c r="B25" s="125">
        <f>IF(((((F25/H25)*100)/60)*5)&gt;5,5,((((F25/H25)*100)/60)*5))</f>
        <v>3.225806451612903</v>
      </c>
      <c r="C25" s="108"/>
      <c r="D25" s="93" t="s">
        <v>69</v>
      </c>
      <c r="E25" s="94" t="s">
        <v>70</v>
      </c>
      <c r="F25" s="83">
        <v>12</v>
      </c>
      <c r="G25" s="94" t="s">
        <v>71</v>
      </c>
      <c r="H25" s="83">
        <v>31</v>
      </c>
      <c r="I25" s="82" t="s">
        <v>72</v>
      </c>
      <c r="J25" s="84">
        <f>(F25/H25)*100</f>
        <v>38.70967741935484</v>
      </c>
    </row>
    <row r="26" spans="1:10">
      <c r="A26" s="99" t="s">
        <v>39</v>
      </c>
      <c r="B26" s="116">
        <v>4</v>
      </c>
      <c r="C26" s="123" t="s">
        <v>234</v>
      </c>
      <c r="D26" s="95" t="s">
        <v>73</v>
      </c>
    </row>
    <row r="27" spans="1:10">
      <c r="A27" s="99" t="s">
        <v>10</v>
      </c>
      <c r="B27" s="126">
        <v>3.43</v>
      </c>
      <c r="C27" s="123"/>
      <c r="D27" s="95" t="s">
        <v>73</v>
      </c>
    </row>
    <row r="28" spans="1:10" ht="20.45" customHeight="1">
      <c r="A28" s="99" t="s">
        <v>40</v>
      </c>
      <c r="B28" s="110">
        <f>SUM('ป1 คณะ '!B33:D33)/3</f>
        <v>3.836049279479921</v>
      </c>
      <c r="C28" s="108"/>
    </row>
    <row r="29" spans="1:10">
      <c r="A29" s="99" t="s">
        <v>11</v>
      </c>
      <c r="B29" s="116">
        <v>5</v>
      </c>
      <c r="C29" s="123" t="s">
        <v>225</v>
      </c>
      <c r="D29" s="95" t="s">
        <v>73</v>
      </c>
    </row>
    <row r="30" spans="1:10">
      <c r="A30" s="122" t="s">
        <v>80</v>
      </c>
      <c r="B30" s="117"/>
      <c r="C30" s="118"/>
    </row>
    <row r="31" spans="1:10">
      <c r="A31" s="99" t="s">
        <v>32</v>
      </c>
      <c r="B31" s="125">
        <f>IF(((((F31/H31)*100)/60)*5)&gt;5,5,((((F31/H31)*100)/60)*5))</f>
        <v>3.0448717948717947</v>
      </c>
      <c r="C31" s="108"/>
      <c r="D31" s="93" t="s">
        <v>69</v>
      </c>
      <c r="E31" s="94" t="s">
        <v>70</v>
      </c>
      <c r="F31" s="83">
        <v>19</v>
      </c>
      <c r="G31" s="94" t="s">
        <v>71</v>
      </c>
      <c r="H31" s="83">
        <v>52</v>
      </c>
      <c r="I31" s="82" t="s">
        <v>72</v>
      </c>
      <c r="J31" s="84">
        <f t="shared" ref="J31:J33" si="0">(F31/H31)*100</f>
        <v>36.538461538461533</v>
      </c>
    </row>
    <row r="32" spans="1:10">
      <c r="A32" s="99" t="s">
        <v>12</v>
      </c>
      <c r="B32" s="112">
        <f>IF(((((F32/H32)*100)/40)*5)&gt;5,5,((((F32/H32)*100)/40)*5))</f>
        <v>5</v>
      </c>
      <c r="C32" s="108"/>
      <c r="D32" s="81" t="s">
        <v>69</v>
      </c>
      <c r="E32" s="82" t="s">
        <v>70</v>
      </c>
      <c r="F32" s="83">
        <v>5</v>
      </c>
      <c r="G32" s="82" t="s">
        <v>71</v>
      </c>
      <c r="H32" s="83">
        <v>5</v>
      </c>
      <c r="I32" s="82" t="s">
        <v>72</v>
      </c>
      <c r="J32" s="84">
        <f t="shared" si="0"/>
        <v>100</v>
      </c>
    </row>
    <row r="33" spans="1:10">
      <c r="A33" s="99" t="s">
        <v>13</v>
      </c>
      <c r="B33" s="125">
        <f>IF(((((F33/H33)*100)/40)*5)&gt;5,5,((((F33/H33)*100)/40)*5))</f>
        <v>5</v>
      </c>
      <c r="C33" s="108"/>
      <c r="D33" s="93" t="s">
        <v>69</v>
      </c>
      <c r="E33" s="94" t="s">
        <v>70</v>
      </c>
      <c r="F33" s="83">
        <v>1</v>
      </c>
      <c r="G33" s="94" t="s">
        <v>71</v>
      </c>
      <c r="H33" s="83">
        <v>1</v>
      </c>
      <c r="I33" s="82" t="s">
        <v>72</v>
      </c>
      <c r="J33" s="84">
        <f t="shared" si="0"/>
        <v>100</v>
      </c>
    </row>
    <row r="34" spans="1:10">
      <c r="A34" s="119" t="s">
        <v>81</v>
      </c>
      <c r="B34" s="120"/>
      <c r="C34" s="121"/>
    </row>
    <row r="35" spans="1:10">
      <c r="A35" s="102" t="s">
        <v>14</v>
      </c>
      <c r="B35" s="116">
        <v>5</v>
      </c>
      <c r="C35" s="123" t="s">
        <v>224</v>
      </c>
      <c r="D35" s="95" t="s">
        <v>73</v>
      </c>
    </row>
    <row r="36" spans="1:10" ht="28.5" thickBot="1">
      <c r="A36" s="127" t="s">
        <v>15</v>
      </c>
      <c r="B36" s="128">
        <f>IF(((((F36/H36)*100)/80)*5)&gt;5,5,((((F36/H36)*100)/80)*5))</f>
        <v>5</v>
      </c>
      <c r="C36" s="108"/>
      <c r="D36" s="93" t="s">
        <v>69</v>
      </c>
      <c r="E36" s="94" t="s">
        <v>70</v>
      </c>
      <c r="F36" s="83">
        <v>6</v>
      </c>
      <c r="G36" s="94" t="s">
        <v>71</v>
      </c>
      <c r="H36" s="83">
        <v>7</v>
      </c>
      <c r="I36" s="82" t="s">
        <v>72</v>
      </c>
      <c r="J36" s="84">
        <f>(F36/H36)*100</f>
        <v>85.714285714285708</v>
      </c>
    </row>
    <row r="37" spans="1:10" ht="27.6" customHeight="1">
      <c r="A37" s="457" t="s">
        <v>61</v>
      </c>
      <c r="B37" s="455">
        <f>AVERAGE(B36,B35,B33,B32,B31,B29,B28,B27,B26,B25,B24,B23,B22,B21,B20,B19,B18,B16,B14,B13,B11,B10,B8,B7,B6,B5)</f>
        <v>4.0742354924144051</v>
      </c>
      <c r="C37" s="453" t="str">
        <f>IF(AND(B37&gt;=4.51,B37&lt;=5),"การดำเนินงานระดับดีมาก",IF(AND(B37&gt;=3.51,B37&lt;4.51),"การดำเนินงานระดับดี",IF(AND(B37&gt;=2.51,B37&lt;3.51),"การดำเนินงานระดับพอใช้",IF(AND(B37&gt;=1.51,B37&lt;2.51),"การดำเนินงานต้องปรับปรุง",IF(B37&lt;1.51,"การดำเนินงานต้องปรับปรุงเร่งด่วน","")))))</f>
        <v>การดำเนินงานระดับดี</v>
      </c>
    </row>
    <row r="38" spans="1:10" ht="27.6" customHeight="1" thickBot="1">
      <c r="A38" s="458"/>
      <c r="B38" s="456"/>
      <c r="C38" s="454" t="str">
        <f t="shared" ref="C38" si="1">IF(AND(B38&gt;=4.51,B38&lt;=5),"การดำเนินงานระดับดีมาก",IF(AND(B38&gt;=3.51,B38&lt;4.51),"การดำเนินงานระดับดี",IF(AND(B38&gt;=2.51,B38&lt;3.51),"การดำเนินงานระดับพอใช้",IF(AND(B38&gt;=1.51,B38&lt;2.51),"การดำเนินงานต้องปรับปรุง",IF(B38&lt;1.51,"การดำเนินงานต้องปรับปรุงเร่งด่วน","")))))</f>
        <v>การดำเนินงานต้องปรับปรุงเร่งด่วน</v>
      </c>
    </row>
  </sheetData>
  <sheetProtection algorithmName="SHA-512" hashValue="+CS8KmozH4q4iNKPortSTTWETgEefEcphQibkA2ZiIU4Nh9dC4NOc+PkgiHmbrEWX1c3mKqeok00wRan/BqFSA==" saltValue="tOPfMZ/3NGzKCeBJheDwNg==" spinCount="100000" sheet="1" objects="1" scenarios="1"/>
  <mergeCells count="4">
    <mergeCell ref="C37:C38"/>
    <mergeCell ref="B37:B38"/>
    <mergeCell ref="A37:A38"/>
    <mergeCell ref="A1:B1"/>
  </mergeCells>
  <dataValidations count="1">
    <dataValidation type="decimal" operator="lessThanOrEqual" allowBlank="1" showErrorMessage="1" errorTitle="บันทึกผลผิดพลาด" error="คะแนนประเมินต้องไม่เกิน 5" sqref="B5:B8 B10:B11 B13:B14 B16 B18:B29 B31:B33 B36" xr:uid="{00000000-0002-0000-0300-000000000000}">
      <formula1>5</formula1>
    </dataValidation>
  </dataValidations>
  <pageMargins left="1.1023622047244095" right="0.70866141732283472" top="0.55118110236220474" bottom="0.35433070866141736" header="0.31496062992125984" footer="0.31496062992125984"/>
  <pageSetup paperSize="9" scale="76"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G23"/>
  <sheetViews>
    <sheetView zoomScale="80" zoomScaleNormal="80" workbookViewId="0">
      <selection activeCell="G2" sqref="G2"/>
    </sheetView>
  </sheetViews>
  <sheetFormatPr defaultRowHeight="15"/>
  <cols>
    <col min="1" max="1" width="9.28515625" bestFit="1" customWidth="1"/>
    <col min="3" max="5" width="16.85546875" customWidth="1"/>
    <col min="6" max="6" width="11.28515625" customWidth="1"/>
    <col min="7" max="7" width="30.28515625" customWidth="1"/>
  </cols>
  <sheetData>
    <row r="1" spans="1:7" s="10" customFormat="1" ht="42.6" customHeight="1" thickBot="1">
      <c r="A1" s="290" t="str">
        <f>'CDS(สำหรับภาคผนวก) '!A1</f>
        <v>วิทยาเขต ยะลา</v>
      </c>
    </row>
    <row r="2" spans="1:7" ht="31.15" customHeight="1" thickBot="1">
      <c r="A2" s="21"/>
      <c r="B2" s="463" t="s">
        <v>42</v>
      </c>
      <c r="C2" s="464"/>
      <c r="D2" s="464"/>
      <c r="E2" s="464"/>
      <c r="F2" s="464"/>
      <c r="G2" s="143" t="s">
        <v>61</v>
      </c>
    </row>
    <row r="3" spans="1:7" ht="15.6" customHeight="1">
      <c r="A3" s="22" t="s">
        <v>41</v>
      </c>
      <c r="B3" s="465" t="s">
        <v>43</v>
      </c>
      <c r="C3" s="468" t="s">
        <v>44</v>
      </c>
      <c r="D3" s="468" t="s">
        <v>45</v>
      </c>
      <c r="E3" s="468" t="s">
        <v>46</v>
      </c>
      <c r="F3" s="471" t="s">
        <v>47</v>
      </c>
      <c r="G3" s="23" t="s">
        <v>48</v>
      </c>
    </row>
    <row r="4" spans="1:7" ht="15.6" customHeight="1">
      <c r="A4" s="24"/>
      <c r="B4" s="466"/>
      <c r="C4" s="469"/>
      <c r="D4" s="469"/>
      <c r="E4" s="469"/>
      <c r="F4" s="472"/>
      <c r="G4" s="23" t="s">
        <v>49</v>
      </c>
    </row>
    <row r="5" spans="1:7" ht="15.6" customHeight="1">
      <c r="A5" s="24"/>
      <c r="B5" s="466"/>
      <c r="C5" s="469"/>
      <c r="D5" s="469"/>
      <c r="E5" s="469"/>
      <c r="F5" s="472"/>
      <c r="G5" s="23" t="s">
        <v>50</v>
      </c>
    </row>
    <row r="6" spans="1:7" ht="15.6" customHeight="1">
      <c r="A6" s="24"/>
      <c r="B6" s="466"/>
      <c r="C6" s="469"/>
      <c r="D6" s="469"/>
      <c r="E6" s="469"/>
      <c r="F6" s="472"/>
      <c r="G6" s="23" t="s">
        <v>51</v>
      </c>
    </row>
    <row r="7" spans="1:7" ht="15.6" customHeight="1" thickBot="1">
      <c r="A7" s="24"/>
      <c r="B7" s="467"/>
      <c r="C7" s="470"/>
      <c r="D7" s="470"/>
      <c r="E7" s="470"/>
      <c r="F7" s="473"/>
      <c r="G7" s="23" t="s">
        <v>52</v>
      </c>
    </row>
    <row r="8" spans="1:7" ht="31.9" customHeight="1">
      <c r="A8" s="133">
        <v>1</v>
      </c>
      <c r="B8" s="20">
        <v>4</v>
      </c>
      <c r="C8" s="25" t="s">
        <v>53</v>
      </c>
      <c r="D8" s="26" t="s">
        <v>53</v>
      </c>
      <c r="E8" s="139">
        <f>AVERAGE('ป1 วิทยาเขต '!B5:B8)</f>
        <v>4.8569444444444443</v>
      </c>
      <c r="F8" s="140">
        <f>E8</f>
        <v>4.8569444444444443</v>
      </c>
      <c r="G8" s="34" t="str">
        <f>IF(AND(F8&gt;=4.51,F8&lt;=5),"การดำเนินงานระดับดีมาก",IF(AND(F8&gt;=3.51,F8&lt;4.51),"การดำเนินงานระดับดี",IF(AND(F8&gt;=2.51,F8&lt;3.51),"การดำเนินงานระดับพอใช้",IF(AND(F8&gt;=1.51,F8&lt;2.51),"การดำเนินงานต้องปรับปรุง",IF(F8&lt;1.51,"การดำเนินงานต้องปรับปรุงเร่งด่วน","")))))</f>
        <v>การดำเนินงานระดับดีมาก</v>
      </c>
    </row>
    <row r="9" spans="1:7" ht="31.9" customHeight="1">
      <c r="A9" s="134">
        <v>2</v>
      </c>
      <c r="B9" s="2">
        <v>2</v>
      </c>
      <c r="C9" s="27" t="s">
        <v>53</v>
      </c>
      <c r="D9" s="28" t="s">
        <v>53</v>
      </c>
      <c r="E9" s="141">
        <f>AVERAGE('ป1 วิทยาเขต '!B10:B11)</f>
        <v>2.6209523809523807</v>
      </c>
      <c r="F9" s="142">
        <f>E9</f>
        <v>2.6209523809523807</v>
      </c>
      <c r="G9" s="35" t="str">
        <f t="shared" ref="G9:G13" si="0">IF(AND(F9&gt;=4.51,F9&lt;=5),"การดำเนินงานระดับดีมาก",IF(AND(F9&gt;=3.51,F9&lt;4.51),"การดำเนินงานระดับดี",IF(AND(F9&gt;=2.51,F9&lt;3.51),"การดำเนินงานระดับพอใช้",IF(AND(F9&gt;=1.51,F9&lt;2.51),"การดำเนินงานต้องปรับปรุง",IF(F9&lt;1.51,"การดำเนินงานต้องปรับปรุงเร่งด่วน","")))))</f>
        <v>การดำเนินงานระดับพอใช้</v>
      </c>
    </row>
    <row r="10" spans="1:7" ht="31.9" customHeight="1">
      <c r="A10" s="134">
        <v>3</v>
      </c>
      <c r="B10" s="2">
        <v>2</v>
      </c>
      <c r="C10" s="27" t="s">
        <v>53</v>
      </c>
      <c r="D10" s="28" t="s">
        <v>53</v>
      </c>
      <c r="E10" s="141">
        <f>AVERAGE('ป1 วิทยาเขต '!B13:B14)</f>
        <v>5</v>
      </c>
      <c r="F10" s="142">
        <f>E10</f>
        <v>5</v>
      </c>
      <c r="G10" s="35" t="str">
        <f t="shared" si="0"/>
        <v>การดำเนินงานระดับดีมาก</v>
      </c>
    </row>
    <row r="11" spans="1:7" ht="31.9" customHeight="1">
      <c r="A11" s="134">
        <v>4</v>
      </c>
      <c r="B11" s="2">
        <v>1</v>
      </c>
      <c r="C11" s="27" t="s">
        <v>53</v>
      </c>
      <c r="D11" s="28" t="s">
        <v>53</v>
      </c>
      <c r="E11" s="141">
        <f>'ป1 วิทยาเขต '!B16</f>
        <v>5</v>
      </c>
      <c r="F11" s="142">
        <f>E11</f>
        <v>5</v>
      </c>
      <c r="G11" s="35" t="str">
        <f t="shared" si="0"/>
        <v>การดำเนินงานระดับดีมาก</v>
      </c>
    </row>
    <row r="12" spans="1:7" ht="31.9" customHeight="1">
      <c r="A12" s="134">
        <v>5</v>
      </c>
      <c r="B12" s="2">
        <v>12</v>
      </c>
      <c r="C12" s="136">
        <f>AVERAGE('ป1 วิทยาเขต '!B20,'ป1 วิทยาเขต '!B21,'ป1 วิทยาเขต '!B24,'ป1 วิทยาเขต '!B25)</f>
        <v>1.7373797971850684</v>
      </c>
      <c r="D12" s="136">
        <f>AVERAGE('ป1 วิทยาเขต '!B18,'ป1 วิทยาเขต '!B19,'ป1 วิทยาเขต '!B23,'ป1 วิทยาเขต '!B22,'ป1 วิทยาเขต '!B26,'ป1 วิทยาเขต '!B29)</f>
        <v>4.833333333333333</v>
      </c>
      <c r="E12" s="137">
        <f>AVERAGE('ป1 วิทยาเขต '!B27:B28)</f>
        <v>3.6330246397399604</v>
      </c>
      <c r="F12" s="138">
        <f>AVERAGE('ป1 วิทยาเขต '!B18:B29)</f>
        <v>3.601297372351683</v>
      </c>
      <c r="G12" s="35" t="str">
        <f t="shared" si="0"/>
        <v>การดำเนินงานระดับดี</v>
      </c>
    </row>
    <row r="13" spans="1:7" ht="31.9" customHeight="1">
      <c r="A13" s="134">
        <v>6</v>
      </c>
      <c r="B13" s="2">
        <v>3</v>
      </c>
      <c r="C13" s="27"/>
      <c r="D13" s="28"/>
      <c r="E13" s="154">
        <f>AVERAGE('ป1 วิทยาเขต '!B31:B33)</f>
        <v>4.3482905982905988</v>
      </c>
      <c r="F13" s="138">
        <f>E13</f>
        <v>4.3482905982905988</v>
      </c>
      <c r="G13" s="35" t="str">
        <f t="shared" si="0"/>
        <v>การดำเนินงานระดับดี</v>
      </c>
    </row>
    <row r="14" spans="1:7" ht="31.9" customHeight="1" thickBot="1">
      <c r="A14" s="135">
        <v>7</v>
      </c>
      <c r="B14" s="5">
        <v>2</v>
      </c>
      <c r="C14" s="29"/>
      <c r="D14" s="153">
        <f>'ป1 วิทยาเขต '!B35</f>
        <v>5</v>
      </c>
      <c r="E14" s="155">
        <f>'ป1 วิทยาเขต '!B36</f>
        <v>5</v>
      </c>
      <c r="F14" s="142">
        <f>AVERAGE('ป1 วิทยาเขต '!B35:B36)</f>
        <v>5</v>
      </c>
      <c r="G14" s="36" t="str">
        <f>IF(AND(F14&gt;=4.51,F14&lt;=5),"การดำเนินงานระดับดีมาก",IF(AND(F14&gt;=3.51,F14&lt;4.51),"การดำเนินงานระดับดี",IF(AND(F14&gt;=2.51,F14&lt;3.51),"การดำเนินงานระดับพอใช้",IF(AND(F14&gt;=1.51,F14&lt;2.51),"การดำเนินงานต้องปรับปรุง",IF(F14&lt;1.51,"การดำเนินงานต้องปรับปรุงเร่งด่วน","")))))</f>
        <v>การดำเนินงานระดับดีมาก</v>
      </c>
    </row>
    <row r="15" spans="1:7" ht="31.9" customHeight="1" thickBot="1">
      <c r="A15" s="6" t="s">
        <v>54</v>
      </c>
      <c r="B15" s="30">
        <v>26</v>
      </c>
      <c r="C15" s="30">
        <v>4</v>
      </c>
      <c r="D15" s="31">
        <v>7</v>
      </c>
      <c r="E15" s="32">
        <v>15</v>
      </c>
      <c r="F15" s="485">
        <f>AVERAGE('ป1 วิทยาเขต '!B5:B8,'ป1 วิทยาเขต '!B10:B11,'ป1 วิทยาเขต '!B13:B14,'ป1 วิทยาเขต '!B16,'ป1 วิทยาเขต '!B18:B29,'ป1 วิทยาเขต '!B31:B33,'ป1 วิทยาเขต '!B35:B36)</f>
        <v>4.0742354924144051</v>
      </c>
      <c r="G15" s="460" t="str">
        <f>IF(AND(F15&gt;=4.51,F15&lt;=5),"การดำเนินงานระดับดีมาก",IF(AND(F15&gt;=3.51,F15&lt;4.51),"การดำเนินงานระดับดี",IF(AND(F15&gt;=2.51,F15&lt;3.51),"การดำเนินงานระดับพอใช้",IF(AND(F15&gt;=1.51,F15&lt;2.51),"การดำเนินงานต้องปรับปรุง",IF(F15&lt;1.51,"การดำเนินงานต้องปรับปรุงเร่งด่วน","")))))</f>
        <v>การดำเนินงานระดับดี</v>
      </c>
    </row>
    <row r="16" spans="1:7" ht="15.6" customHeight="1">
      <c r="A16" s="474" t="s">
        <v>83</v>
      </c>
      <c r="B16" s="475"/>
      <c r="C16" s="480">
        <f>C12</f>
        <v>1.7373797971850684</v>
      </c>
      <c r="D16" s="482">
        <f>AVERAGE('ป1 วิทยาเขต '!B18:B19,'ป1 วิทยาเขต '!B22:B23,'ป1 วิทยาเขต '!B26,'ป1 วิทยาเขต '!B29,'ป1 วิทยาเขต '!B35)</f>
        <v>4.8571428571428568</v>
      </c>
      <c r="E16" s="483">
        <f>AVERAGE('ป1 วิทยาเขต '!B5:B8,'ป1 วิทยาเขต '!B10:B11,'ป1 วิทยาเขต '!B13:B14,'ป1 วิทยาเขต '!B16,'ป1 วิทยาเขต '!B27,'ป1 วิทยาเขต '!B28,'ป1 วิทยาเขต '!B31:B33,'ป1 วิทยาเขต '!B36)</f>
        <v>4.3320402409356173</v>
      </c>
      <c r="F16" s="486"/>
      <c r="G16" s="461"/>
    </row>
    <row r="17" spans="1:7" ht="15.6" customHeight="1" thickBot="1">
      <c r="A17" s="476"/>
      <c r="B17" s="477"/>
      <c r="C17" s="481"/>
      <c r="D17" s="482"/>
      <c r="E17" s="484"/>
      <c r="F17" s="487"/>
      <c r="G17" s="462"/>
    </row>
    <row r="18" spans="1:7" ht="73.900000000000006" customHeight="1" thickBot="1">
      <c r="A18" s="478"/>
      <c r="B18" s="479"/>
      <c r="C18" s="132" t="str">
        <f>IF(AND(C16&gt;=4.51,C16&lt;=5),"การดำเนินงานระดับดีมาก",IF(AND(C16&gt;=3.51,C16&lt;4.51),"การดำเนินงานระดับดี",IF(AND(C16&gt;=2.51,C16&lt;3.51),"การดำเนินงานระดับพอใช้",IF(AND(C16&gt;=1.51,C16&lt;2.51),"การดำเนินงานต้องปรับปรุง",IF(C16&lt;1.51,"การดำเนินงานต้องปรับปรุงเร่งด่วน","")))))</f>
        <v>การดำเนินงานต้องปรับปรุง</v>
      </c>
      <c r="D18" s="131" t="str">
        <f t="shared" ref="D18:E18" si="1">IF(AND(D16&gt;=4.51,D16&lt;=5),"การดำเนินงานระดับดีมาก",IF(AND(D16&gt;=3.51,D16&lt;4.51),"การดำเนินงานระดับดี",IF(AND(D16&gt;=2.51,D16&lt;3.51),"การดำเนินงานระดับพอใช้",IF(AND(D16&gt;=1.51,D16&lt;2.51),"การดำเนินงานต้องปรับปรุง",IF(D16&lt;1.51,"การดำเนินงานต้องปรับปรุงเร่งด่วน","")))))</f>
        <v>การดำเนินงานระดับดีมาก</v>
      </c>
      <c r="E18" s="131" t="str">
        <f t="shared" si="1"/>
        <v>การดำเนินงานระดับดี</v>
      </c>
      <c r="F18" s="77"/>
      <c r="G18" s="78"/>
    </row>
    <row r="19" spans="1:7" ht="15.6" customHeight="1"/>
    <row r="20" spans="1:7" ht="15.6" customHeight="1"/>
    <row r="21" spans="1:7" ht="15.6" customHeight="1"/>
    <row r="22" spans="1:7" ht="15.6" customHeight="1"/>
    <row r="23" spans="1:7" ht="15.6" customHeight="1"/>
  </sheetData>
  <sheetProtection algorithmName="SHA-512" hashValue="QBJGZTdEJY3yVmZCZvL8HRMrb0rQ0JZC4afIZqLSEDMgT4o8aeBpEhGMoSjZ1HWR3qhdA+iM777ApGoacS6sXw==" saltValue="KqFwBMX7gZhrDLA4v+9SEg==" spinCount="100000" sheet="1" objects="1" scenarios="1"/>
  <mergeCells count="12">
    <mergeCell ref="G15:G17"/>
    <mergeCell ref="B2:F2"/>
    <mergeCell ref="B3:B7"/>
    <mergeCell ref="C3:C7"/>
    <mergeCell ref="D3:D7"/>
    <mergeCell ref="E3:E7"/>
    <mergeCell ref="F3:F7"/>
    <mergeCell ref="A16:B18"/>
    <mergeCell ref="C16:C17"/>
    <mergeCell ref="D16:D17"/>
    <mergeCell ref="E16:E17"/>
    <mergeCell ref="F15:F17"/>
  </mergeCells>
  <pageMargins left="0.7" right="0.7" top="0.75" bottom="0.75" header="0.3" footer="0.3"/>
  <pageSetup paperSize="9" orientation="portrait" r:id="rId1"/>
  <ignoredErrors>
    <ignoredError sqref="E12"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F136"/>
  <sheetViews>
    <sheetView tabSelected="1" zoomScaleNormal="100" workbookViewId="0">
      <pane xSplit="1" ySplit="4" topLeftCell="B77" activePane="bottomRight" state="frozen"/>
      <selection pane="topRight" activeCell="B1" sqref="B1"/>
      <selection pane="bottomLeft" activeCell="A5" sqref="A5"/>
      <selection pane="bottomRight" activeCell="F83" sqref="F83"/>
    </sheetView>
  </sheetViews>
  <sheetFormatPr defaultRowHeight="15"/>
  <cols>
    <col min="1" max="1" width="85.85546875" bestFit="1" customWidth="1"/>
    <col min="2" max="2" width="12.28515625" style="149" customWidth="1"/>
    <col min="3" max="3" width="12.28515625" style="148" customWidth="1"/>
    <col min="4" max="4" width="11.28515625" customWidth="1"/>
    <col min="5" max="5" width="14.28515625" style="150" customWidth="1"/>
    <col min="6" max="6" width="22.85546875" customWidth="1"/>
  </cols>
  <sheetData>
    <row r="1" spans="1:5" ht="31.15" customHeight="1" thickBot="1">
      <c r="A1" s="247" t="s">
        <v>233</v>
      </c>
      <c r="B1" s="149" t="s">
        <v>229</v>
      </c>
    </row>
    <row r="2" spans="1:5" ht="24">
      <c r="A2" s="358" t="s">
        <v>121</v>
      </c>
      <c r="B2" s="489" t="s">
        <v>85</v>
      </c>
      <c r="C2" s="489"/>
      <c r="D2" s="489"/>
      <c r="E2" s="490"/>
    </row>
    <row r="3" spans="1:5" ht="24">
      <c r="A3" s="359"/>
      <c r="B3" s="488" t="s">
        <v>17</v>
      </c>
      <c r="C3" s="488"/>
      <c r="D3" s="488"/>
      <c r="E3" s="491" t="s">
        <v>64</v>
      </c>
    </row>
    <row r="4" spans="1:5" ht="21.75">
      <c r="A4" s="359"/>
      <c r="B4" s="159" t="s">
        <v>86</v>
      </c>
      <c r="C4" s="160" t="s">
        <v>19</v>
      </c>
      <c r="D4" s="176" t="s">
        <v>60</v>
      </c>
      <c r="E4" s="491"/>
    </row>
    <row r="5" spans="1:5" ht="24">
      <c r="A5" s="162" t="s">
        <v>75</v>
      </c>
      <c r="B5" s="151"/>
      <c r="C5" s="152"/>
      <c r="D5" s="82"/>
      <c r="E5" s="163"/>
    </row>
    <row r="6" spans="1:5" ht="23.25">
      <c r="A6" s="164" t="s">
        <v>65</v>
      </c>
      <c r="B6" s="156"/>
      <c r="C6" s="157"/>
      <c r="D6" s="158"/>
      <c r="E6" s="187">
        <f>AVERAGE(B7:D20)</f>
        <v>4.53</v>
      </c>
    </row>
    <row r="7" spans="1:5" ht="23.25">
      <c r="A7" s="166" t="s">
        <v>122</v>
      </c>
      <c r="B7" s="185">
        <v>4.55</v>
      </c>
      <c r="C7" s="178"/>
      <c r="D7" s="179"/>
      <c r="E7" s="188">
        <f>AVERAGE(B7:B9)</f>
        <v>4.55</v>
      </c>
    </row>
    <row r="8" spans="1:5" ht="23.25">
      <c r="A8" s="166" t="s">
        <v>123</v>
      </c>
      <c r="B8" s="185">
        <v>4.55</v>
      </c>
      <c r="C8" s="178"/>
      <c r="D8" s="179"/>
      <c r="E8" s="183"/>
    </row>
    <row r="9" spans="1:5" ht="23.25">
      <c r="A9" s="166" t="s">
        <v>124</v>
      </c>
      <c r="B9" s="185"/>
      <c r="C9" s="178"/>
      <c r="D9" s="179"/>
      <c r="E9" s="183"/>
    </row>
    <row r="10" spans="1:5" ht="23.25">
      <c r="A10" s="167" t="s">
        <v>125</v>
      </c>
      <c r="B10" s="177"/>
      <c r="C10" s="186">
        <v>4.51</v>
      </c>
      <c r="D10" s="179"/>
      <c r="E10" s="189">
        <f>AVERAGE(C10:C14)</f>
        <v>4.51</v>
      </c>
    </row>
    <row r="11" spans="1:5" ht="23.25">
      <c r="A11" s="167" t="s">
        <v>126</v>
      </c>
      <c r="B11" s="177"/>
      <c r="C11" s="186"/>
      <c r="D11" s="179"/>
      <c r="E11" s="183"/>
    </row>
    <row r="12" spans="1:5" ht="23.25">
      <c r="A12" s="167" t="s">
        <v>127</v>
      </c>
      <c r="B12" s="177"/>
      <c r="C12" s="186"/>
      <c r="D12" s="179"/>
      <c r="E12" s="183"/>
    </row>
    <row r="13" spans="1:5" ht="23.25">
      <c r="A13" s="167" t="s">
        <v>128</v>
      </c>
      <c r="B13" s="177"/>
      <c r="C13" s="186"/>
      <c r="D13" s="179"/>
      <c r="E13" s="183"/>
    </row>
    <row r="14" spans="1:5" ht="23.25">
      <c r="A14" s="167" t="s">
        <v>129</v>
      </c>
      <c r="B14" s="177"/>
      <c r="C14" s="186"/>
      <c r="D14" s="179"/>
      <c r="E14" s="183"/>
    </row>
    <row r="15" spans="1:5" ht="23.25">
      <c r="A15" s="168" t="s">
        <v>130</v>
      </c>
      <c r="B15" s="177"/>
      <c r="C15" s="178"/>
      <c r="D15" s="190">
        <v>4.53</v>
      </c>
      <c r="E15" s="194">
        <f>AVERAGE(D15:D20)</f>
        <v>4.5233333333333334</v>
      </c>
    </row>
    <row r="16" spans="1:5" ht="23.25">
      <c r="A16" s="168" t="s">
        <v>131</v>
      </c>
      <c r="B16" s="177"/>
      <c r="C16" s="178"/>
      <c r="D16" s="190">
        <v>4.5199999999999996</v>
      </c>
      <c r="E16" s="182"/>
    </row>
    <row r="17" spans="1:5" ht="23.25">
      <c r="A17" s="168" t="s">
        <v>132</v>
      </c>
      <c r="B17" s="177"/>
      <c r="C17" s="178"/>
      <c r="D17" s="190">
        <v>4.5199999999999996</v>
      </c>
      <c r="E17" s="182"/>
    </row>
    <row r="18" spans="1:5" ht="23.25">
      <c r="A18" s="168" t="s">
        <v>133</v>
      </c>
      <c r="B18" s="177"/>
      <c r="C18" s="178"/>
      <c r="D18" s="190"/>
      <c r="E18" s="182"/>
    </row>
    <row r="19" spans="1:5" ht="23.25">
      <c r="A19" s="168" t="s">
        <v>134</v>
      </c>
      <c r="B19" s="177"/>
      <c r="C19" s="178"/>
      <c r="D19" s="190"/>
      <c r="E19" s="182"/>
    </row>
    <row r="20" spans="1:5" ht="23.25">
      <c r="A20" s="168" t="s">
        <v>135</v>
      </c>
      <c r="B20" s="177"/>
      <c r="C20" s="178"/>
      <c r="D20" s="190"/>
      <c r="E20" s="182"/>
    </row>
    <row r="21" spans="1:5" ht="23.25">
      <c r="A21" s="168" t="s">
        <v>87</v>
      </c>
      <c r="B21" s="192">
        <v>2</v>
      </c>
      <c r="C21" s="193">
        <v>1</v>
      </c>
      <c r="D21" s="191">
        <v>3</v>
      </c>
      <c r="E21" s="209">
        <f>SUM(B21:D21)</f>
        <v>6</v>
      </c>
    </row>
    <row r="22" spans="1:5" ht="46.5">
      <c r="A22" s="164" t="s">
        <v>0</v>
      </c>
      <c r="B22" s="156"/>
      <c r="C22" s="157"/>
      <c r="D22" s="158"/>
      <c r="E22" s="165"/>
    </row>
    <row r="23" spans="1:5" ht="46.5">
      <c r="A23" s="166" t="s">
        <v>136</v>
      </c>
      <c r="B23" s="185">
        <v>5</v>
      </c>
      <c r="C23" s="195"/>
      <c r="D23" s="196"/>
      <c r="E23" s="197">
        <f>AVERAGE(B23:B25)</f>
        <v>5</v>
      </c>
    </row>
    <row r="24" spans="1:5" ht="23.25">
      <c r="A24" s="166" t="s">
        <v>137</v>
      </c>
      <c r="B24" s="185">
        <v>5</v>
      </c>
      <c r="C24" s="195"/>
      <c r="D24" s="196"/>
      <c r="E24" s="198"/>
    </row>
    <row r="25" spans="1:5" ht="23.25">
      <c r="A25" s="166" t="s">
        <v>138</v>
      </c>
      <c r="B25" s="185"/>
      <c r="C25" s="195"/>
      <c r="D25" s="196"/>
      <c r="E25" s="198"/>
    </row>
    <row r="26" spans="1:5" s="148" customFormat="1" ht="23.25">
      <c r="A26" s="167" t="s">
        <v>139</v>
      </c>
      <c r="B26" s="195"/>
      <c r="C26" s="186">
        <v>5</v>
      </c>
      <c r="D26" s="195"/>
      <c r="E26" s="199">
        <f>AVERAGE(C26:C29)</f>
        <v>5</v>
      </c>
    </row>
    <row r="27" spans="1:5" s="148" customFormat="1" ht="23.25">
      <c r="A27" s="167" t="s">
        <v>140</v>
      </c>
      <c r="B27" s="195"/>
      <c r="C27" s="186"/>
      <c r="D27" s="195"/>
      <c r="E27" s="200"/>
    </row>
    <row r="28" spans="1:5" s="148" customFormat="1" ht="23.25">
      <c r="A28" s="167" t="s">
        <v>141</v>
      </c>
      <c r="B28" s="195"/>
      <c r="C28" s="186"/>
      <c r="D28" s="195"/>
      <c r="E28" s="200"/>
    </row>
    <row r="29" spans="1:5" s="148" customFormat="1" ht="23.25">
      <c r="A29" s="167" t="s">
        <v>142</v>
      </c>
      <c r="B29" s="195"/>
      <c r="C29" s="186"/>
      <c r="D29" s="195"/>
      <c r="E29" s="200"/>
    </row>
    <row r="30" spans="1:5" ht="23.25">
      <c r="A30" s="168" t="s">
        <v>143</v>
      </c>
      <c r="B30" s="201"/>
      <c r="C30" s="195"/>
      <c r="D30" s="190">
        <v>5</v>
      </c>
      <c r="E30" s="202">
        <f>AVERAGE(D30:D33)</f>
        <v>5</v>
      </c>
    </row>
    <row r="31" spans="1:5" ht="23.25">
      <c r="A31" s="168" t="s">
        <v>144</v>
      </c>
      <c r="B31" s="201"/>
      <c r="C31" s="195"/>
      <c r="D31" s="190">
        <v>5</v>
      </c>
      <c r="E31" s="198"/>
    </row>
    <row r="32" spans="1:5" ht="23.25">
      <c r="A32" s="168" t="s">
        <v>145</v>
      </c>
      <c r="B32" s="201"/>
      <c r="C32" s="195"/>
      <c r="D32" s="190">
        <v>5</v>
      </c>
      <c r="E32" s="198"/>
    </row>
    <row r="33" spans="1:5" ht="23.25">
      <c r="A33" s="168" t="s">
        <v>146</v>
      </c>
      <c r="B33" s="201"/>
      <c r="C33" s="195"/>
      <c r="D33" s="190"/>
      <c r="E33" s="198"/>
    </row>
    <row r="34" spans="1:5" ht="45.75" customHeight="1">
      <c r="A34" s="167" t="s">
        <v>147</v>
      </c>
      <c r="B34" s="201"/>
      <c r="C34" s="203"/>
      <c r="D34" s="204"/>
      <c r="E34" s="205">
        <f>C34</f>
        <v>0</v>
      </c>
    </row>
    <row r="35" spans="1:5" ht="46.5">
      <c r="A35" s="169" t="s">
        <v>148</v>
      </c>
      <c r="B35" s="201"/>
      <c r="C35" s="206"/>
      <c r="D35" s="203">
        <v>0</v>
      </c>
      <c r="E35" s="202">
        <f>AVERAGE(D35:D36)</f>
        <v>0</v>
      </c>
    </row>
    <row r="36" spans="1:5" ht="46.5">
      <c r="A36" s="169" t="s">
        <v>149</v>
      </c>
      <c r="B36" s="201"/>
      <c r="C36" s="206"/>
      <c r="D36" s="203"/>
      <c r="E36" s="198"/>
    </row>
    <row r="37" spans="1:5" ht="23.25">
      <c r="A37" s="164" t="s">
        <v>150</v>
      </c>
      <c r="B37" s="156"/>
      <c r="C37" s="157"/>
      <c r="D37" s="158"/>
      <c r="E37" s="165"/>
    </row>
    <row r="38" spans="1:5" s="161" customFormat="1" ht="43.5">
      <c r="A38" s="256" t="s">
        <v>151</v>
      </c>
      <c r="B38" s="192">
        <v>23</v>
      </c>
      <c r="C38" s="207"/>
      <c r="D38" s="207"/>
      <c r="E38" s="197">
        <f>SUM(B38:B40)</f>
        <v>68</v>
      </c>
    </row>
    <row r="39" spans="1:5" s="149" customFormat="1" ht="43.5">
      <c r="A39" s="256" t="s">
        <v>152</v>
      </c>
      <c r="B39" s="192">
        <v>45</v>
      </c>
      <c r="C39" s="207"/>
      <c r="D39" s="207"/>
      <c r="E39" s="210"/>
    </row>
    <row r="40" spans="1:5" s="149" customFormat="1" ht="43.5">
      <c r="A40" s="256" t="s">
        <v>153</v>
      </c>
      <c r="B40" s="192"/>
      <c r="C40" s="207"/>
      <c r="D40" s="207"/>
      <c r="E40" s="210"/>
    </row>
    <row r="41" spans="1:5" s="148" customFormat="1" ht="43.5">
      <c r="A41" s="170" t="s">
        <v>154</v>
      </c>
      <c r="B41" s="206"/>
      <c r="C41" s="193">
        <v>42</v>
      </c>
      <c r="D41" s="206"/>
      <c r="E41" s="199">
        <f>SUM(C41:C44)</f>
        <v>42</v>
      </c>
    </row>
    <row r="42" spans="1:5" s="148" customFormat="1" ht="43.5">
      <c r="A42" s="170" t="s">
        <v>155</v>
      </c>
      <c r="B42" s="206"/>
      <c r="C42" s="193"/>
      <c r="D42" s="206"/>
      <c r="E42" s="200"/>
    </row>
    <row r="43" spans="1:5" s="148" customFormat="1" ht="43.5">
      <c r="A43" s="170" t="s">
        <v>156</v>
      </c>
      <c r="B43" s="206"/>
      <c r="C43" s="193"/>
      <c r="D43" s="206"/>
      <c r="E43" s="200"/>
    </row>
    <row r="44" spans="1:5" s="148" customFormat="1" ht="43.5">
      <c r="A44" s="170" t="s">
        <v>157</v>
      </c>
      <c r="B44" s="206"/>
      <c r="C44" s="193"/>
      <c r="D44" s="206"/>
      <c r="E44" s="200"/>
    </row>
    <row r="45" spans="1:5" ht="43.5">
      <c r="A45" s="171" t="s">
        <v>158</v>
      </c>
      <c r="B45" s="207"/>
      <c r="C45" s="206"/>
      <c r="D45" s="191">
        <v>39</v>
      </c>
      <c r="E45" s="202">
        <f>SUM(D45:D48)</f>
        <v>85</v>
      </c>
    </row>
    <row r="46" spans="1:5" ht="43.5">
      <c r="A46" s="171" t="s">
        <v>159</v>
      </c>
      <c r="B46" s="207"/>
      <c r="C46" s="206"/>
      <c r="D46" s="191">
        <v>18</v>
      </c>
      <c r="E46" s="198"/>
    </row>
    <row r="47" spans="1:5" ht="43.5">
      <c r="A47" s="171" t="s">
        <v>160</v>
      </c>
      <c r="B47" s="207"/>
      <c r="C47" s="206"/>
      <c r="D47" s="191">
        <v>28</v>
      </c>
      <c r="E47" s="198"/>
    </row>
    <row r="48" spans="1:5" ht="43.5">
      <c r="A48" s="171" t="s">
        <v>161</v>
      </c>
      <c r="B48" s="207"/>
      <c r="C48" s="206"/>
      <c r="D48" s="191"/>
      <c r="E48" s="198"/>
    </row>
    <row r="49" spans="1:6" ht="21.75">
      <c r="A49" s="171" t="s">
        <v>88</v>
      </c>
      <c r="B49" s="192">
        <v>68</v>
      </c>
      <c r="C49" s="193">
        <v>44</v>
      </c>
      <c r="D49" s="191">
        <v>85</v>
      </c>
      <c r="E49" s="209">
        <f>SUM(B49:D49)</f>
        <v>197</v>
      </c>
    </row>
    <row r="50" spans="1:6" ht="23.25">
      <c r="A50" s="164" t="s">
        <v>1</v>
      </c>
      <c r="B50" s="156"/>
      <c r="C50" s="157"/>
      <c r="D50" s="158"/>
      <c r="E50" s="165"/>
    </row>
    <row r="51" spans="1:6" s="149" customFormat="1" ht="43.5">
      <c r="A51" s="256" t="s">
        <v>162</v>
      </c>
      <c r="B51" s="192">
        <v>22</v>
      </c>
      <c r="C51" s="207"/>
      <c r="D51" s="207"/>
      <c r="E51" s="197">
        <f>SUM(B51:B53)</f>
        <v>67</v>
      </c>
    </row>
    <row r="52" spans="1:6" s="149" customFormat="1" ht="43.5">
      <c r="A52" s="256" t="s">
        <v>163</v>
      </c>
      <c r="B52" s="192">
        <v>45</v>
      </c>
      <c r="C52" s="207"/>
      <c r="D52" s="207"/>
      <c r="E52" s="210"/>
    </row>
    <row r="53" spans="1:6" s="149" customFormat="1" ht="43.5">
      <c r="A53" s="256" t="s">
        <v>164</v>
      </c>
      <c r="B53" s="192"/>
      <c r="C53" s="207"/>
      <c r="D53" s="207"/>
      <c r="E53" s="210"/>
    </row>
    <row r="54" spans="1:6" s="148" customFormat="1" ht="43.5">
      <c r="A54" s="170" t="s">
        <v>165</v>
      </c>
      <c r="B54" s="206"/>
      <c r="C54" s="193">
        <v>42</v>
      </c>
      <c r="D54" s="206"/>
      <c r="E54" s="199">
        <f>SUM(C54:C57)</f>
        <v>42</v>
      </c>
    </row>
    <row r="55" spans="1:6" s="148" customFormat="1" ht="43.5">
      <c r="A55" s="170" t="s">
        <v>166</v>
      </c>
      <c r="B55" s="206"/>
      <c r="C55" s="193"/>
      <c r="D55" s="206"/>
      <c r="E55" s="200"/>
    </row>
    <row r="56" spans="1:6" s="148" customFormat="1" ht="43.5">
      <c r="A56" s="170" t="s">
        <v>167</v>
      </c>
      <c r="B56" s="206"/>
      <c r="C56" s="193"/>
      <c r="D56" s="206"/>
      <c r="E56" s="200"/>
    </row>
    <row r="57" spans="1:6" s="148" customFormat="1" ht="43.5">
      <c r="A57" s="170" t="s">
        <v>168</v>
      </c>
      <c r="B57" s="206"/>
      <c r="C57" s="193"/>
      <c r="D57" s="206"/>
      <c r="E57" s="200"/>
    </row>
    <row r="58" spans="1:6" ht="43.5">
      <c r="A58" s="171" t="s">
        <v>169</v>
      </c>
      <c r="B58" s="207"/>
      <c r="C58" s="206"/>
      <c r="D58" s="191">
        <v>39</v>
      </c>
      <c r="E58" s="202">
        <f>SUM(D58:D61)</f>
        <v>85</v>
      </c>
    </row>
    <row r="59" spans="1:6" ht="43.5">
      <c r="A59" s="171" t="s">
        <v>170</v>
      </c>
      <c r="B59" s="207"/>
      <c r="C59" s="206"/>
      <c r="D59" s="191">
        <v>18</v>
      </c>
      <c r="E59" s="198"/>
    </row>
    <row r="60" spans="1:6" ht="43.5">
      <c r="A60" s="171" t="s">
        <v>171</v>
      </c>
      <c r="B60" s="207"/>
      <c r="C60" s="206"/>
      <c r="D60" s="191">
        <v>28</v>
      </c>
      <c r="E60" s="198"/>
    </row>
    <row r="61" spans="1:6" ht="43.5">
      <c r="A61" s="171" t="s">
        <v>172</v>
      </c>
      <c r="B61" s="207"/>
      <c r="C61" s="206"/>
      <c r="D61" s="191"/>
      <c r="E61" s="198"/>
    </row>
    <row r="62" spans="1:6" ht="24">
      <c r="A62" s="172" t="s">
        <v>84</v>
      </c>
      <c r="B62" s="151"/>
      <c r="C62" s="152"/>
      <c r="D62" s="82"/>
      <c r="E62" s="163"/>
    </row>
    <row r="63" spans="1:6" ht="21.75">
      <c r="A63" s="171" t="s">
        <v>173</v>
      </c>
      <c r="B63" s="215">
        <f>SUM(B64:B75)</f>
        <v>6</v>
      </c>
      <c r="C63" s="216">
        <f t="shared" ref="C63:D63" si="0">SUM(C64:C75)</f>
        <v>3</v>
      </c>
      <c r="D63" s="214">
        <f t="shared" si="0"/>
        <v>2</v>
      </c>
      <c r="E63" s="184">
        <f>SUM(B63:D63)</f>
        <v>11</v>
      </c>
    </row>
    <row r="64" spans="1:6" ht="43.5">
      <c r="A64" s="171" t="s">
        <v>89</v>
      </c>
      <c r="B64" s="211">
        <v>2</v>
      </c>
      <c r="C64" s="212"/>
      <c r="D64" s="203">
        <v>1</v>
      </c>
      <c r="E64" s="217">
        <f>(SUM(B64:D64)*0.2)</f>
        <v>0.60000000000000009</v>
      </c>
      <c r="F64" s="218" t="s">
        <v>178</v>
      </c>
    </row>
    <row r="65" spans="1:6" ht="108.75">
      <c r="A65" s="171" t="s">
        <v>90</v>
      </c>
      <c r="B65" s="211">
        <v>2</v>
      </c>
      <c r="C65" s="212">
        <v>2</v>
      </c>
      <c r="D65" s="203">
        <v>1</v>
      </c>
      <c r="E65" s="217">
        <f>(SUM(B65:D65)*0.4)</f>
        <v>2</v>
      </c>
      <c r="F65" s="218" t="s">
        <v>178</v>
      </c>
    </row>
    <row r="66" spans="1:6" ht="21.75">
      <c r="A66" s="171" t="s">
        <v>91</v>
      </c>
      <c r="B66" s="211">
        <v>0</v>
      </c>
      <c r="C66" s="212">
        <v>0</v>
      </c>
      <c r="D66" s="203"/>
      <c r="E66" s="217">
        <f>(SUM(B66:D66)*0.4)</f>
        <v>0</v>
      </c>
      <c r="F66" s="218" t="s">
        <v>178</v>
      </c>
    </row>
    <row r="67" spans="1:6" ht="43.5">
      <c r="A67" s="171" t="s">
        <v>92</v>
      </c>
      <c r="B67" s="211">
        <v>0</v>
      </c>
      <c r="C67" s="212">
        <v>1</v>
      </c>
      <c r="D67" s="203">
        <v>0</v>
      </c>
      <c r="E67" s="217">
        <f>(SUM(B67:D67)*0.6)</f>
        <v>0.6</v>
      </c>
      <c r="F67" s="218" t="s">
        <v>178</v>
      </c>
    </row>
    <row r="68" spans="1:6" ht="108.75">
      <c r="A68" s="171" t="s">
        <v>93</v>
      </c>
      <c r="B68" s="211">
        <v>1</v>
      </c>
      <c r="C68" s="212">
        <v>0</v>
      </c>
      <c r="D68" s="203">
        <v>0</v>
      </c>
      <c r="E68" s="217">
        <f>(SUM(B68:D68)*0.8)</f>
        <v>0.8</v>
      </c>
      <c r="F68" s="218" t="s">
        <v>178</v>
      </c>
    </row>
    <row r="69" spans="1:6" ht="65.25">
      <c r="A69" s="171" t="s">
        <v>94</v>
      </c>
      <c r="B69" s="211">
        <v>0</v>
      </c>
      <c r="C69" s="212">
        <v>0</v>
      </c>
      <c r="D69" s="203">
        <v>0</v>
      </c>
      <c r="E69" s="217">
        <f>(SUM(B69:D69)*1)</f>
        <v>0</v>
      </c>
      <c r="F69" s="218" t="s">
        <v>178</v>
      </c>
    </row>
    <row r="70" spans="1:6" ht="21.75">
      <c r="A70" s="171" t="s">
        <v>95</v>
      </c>
      <c r="B70" s="211">
        <v>0</v>
      </c>
      <c r="C70" s="212">
        <v>0</v>
      </c>
      <c r="D70" s="203">
        <v>0</v>
      </c>
      <c r="E70" s="217">
        <f t="shared" ref="E70:E75" si="1">(SUM(B70:D70)*1)</f>
        <v>0</v>
      </c>
      <c r="F70" s="218" t="s">
        <v>178</v>
      </c>
    </row>
    <row r="71" spans="1:6" ht="43.5">
      <c r="A71" s="171" t="s">
        <v>96</v>
      </c>
      <c r="B71" s="211">
        <v>0</v>
      </c>
      <c r="C71" s="212">
        <v>0</v>
      </c>
      <c r="D71" s="203">
        <v>0</v>
      </c>
      <c r="E71" s="217">
        <f t="shared" si="1"/>
        <v>0</v>
      </c>
      <c r="F71" s="218" t="s">
        <v>178</v>
      </c>
    </row>
    <row r="72" spans="1:6" ht="21.75">
      <c r="A72" s="171" t="s">
        <v>97</v>
      </c>
      <c r="B72" s="211">
        <v>0</v>
      </c>
      <c r="C72" s="212">
        <v>0</v>
      </c>
      <c r="D72" s="203">
        <v>0</v>
      </c>
      <c r="E72" s="217">
        <f t="shared" si="1"/>
        <v>0</v>
      </c>
      <c r="F72" s="218" t="s">
        <v>178</v>
      </c>
    </row>
    <row r="73" spans="1:6" ht="21.75">
      <c r="A73" s="171" t="s">
        <v>98</v>
      </c>
      <c r="B73" s="211">
        <v>0</v>
      </c>
      <c r="C73" s="212">
        <v>0</v>
      </c>
      <c r="D73" s="203">
        <v>0</v>
      </c>
      <c r="E73" s="217">
        <f t="shared" si="1"/>
        <v>0</v>
      </c>
      <c r="F73" s="218" t="s">
        <v>178</v>
      </c>
    </row>
    <row r="74" spans="1:6" ht="43.5">
      <c r="A74" s="171" t="s">
        <v>99</v>
      </c>
      <c r="B74" s="211">
        <v>1</v>
      </c>
      <c r="C74" s="212">
        <v>0</v>
      </c>
      <c r="D74" s="203">
        <v>0</v>
      </c>
      <c r="E74" s="217">
        <f t="shared" si="1"/>
        <v>1</v>
      </c>
      <c r="F74" s="218" t="s">
        <v>178</v>
      </c>
    </row>
    <row r="75" spans="1:6" ht="36.6" customHeight="1">
      <c r="A75" s="171" t="s">
        <v>100</v>
      </c>
      <c r="B75" s="211">
        <v>0</v>
      </c>
      <c r="C75" s="212">
        <v>0</v>
      </c>
      <c r="D75" s="203">
        <v>0</v>
      </c>
      <c r="E75" s="217">
        <f t="shared" si="1"/>
        <v>0</v>
      </c>
      <c r="F75" s="218" t="s">
        <v>178</v>
      </c>
    </row>
    <row r="76" spans="1:6" ht="23.25">
      <c r="A76" s="168" t="s">
        <v>101</v>
      </c>
      <c r="B76" s="257">
        <v>6</v>
      </c>
      <c r="C76" s="258">
        <v>4</v>
      </c>
      <c r="D76" s="259">
        <v>5</v>
      </c>
      <c r="E76" s="219">
        <f>SUM(B76:D76)</f>
        <v>15</v>
      </c>
    </row>
    <row r="77" spans="1:6" ht="23.25">
      <c r="A77" s="168" t="s">
        <v>103</v>
      </c>
      <c r="B77" s="211">
        <v>5</v>
      </c>
      <c r="C77" s="212">
        <v>2</v>
      </c>
      <c r="D77" s="203">
        <v>2</v>
      </c>
      <c r="E77" s="213">
        <f t="shared" ref="E77:E80" si="2">SUM(B77:D77)</f>
        <v>9</v>
      </c>
    </row>
    <row r="78" spans="1:6" ht="23.25">
      <c r="A78" s="168" t="s">
        <v>102</v>
      </c>
      <c r="B78" s="211">
        <v>0</v>
      </c>
      <c r="C78" s="212">
        <v>0</v>
      </c>
      <c r="D78" s="203">
        <v>0</v>
      </c>
      <c r="E78" s="213">
        <f t="shared" si="2"/>
        <v>0</v>
      </c>
    </row>
    <row r="79" spans="1:6" ht="23.25">
      <c r="A79" s="168" t="s">
        <v>104</v>
      </c>
      <c r="B79" s="211">
        <v>0</v>
      </c>
      <c r="C79" s="212">
        <v>0</v>
      </c>
      <c r="D79" s="203">
        <v>0</v>
      </c>
      <c r="E79" s="213">
        <f t="shared" si="2"/>
        <v>0</v>
      </c>
    </row>
    <row r="80" spans="1:6" ht="23.25">
      <c r="A80" s="168" t="s">
        <v>105</v>
      </c>
      <c r="B80" s="211">
        <v>0</v>
      </c>
      <c r="C80" s="212">
        <v>0</v>
      </c>
      <c r="D80" s="203">
        <v>0</v>
      </c>
      <c r="E80" s="213">
        <f t="shared" si="2"/>
        <v>0</v>
      </c>
    </row>
    <row r="81" spans="1:5" ht="24">
      <c r="A81" s="162" t="s">
        <v>77</v>
      </c>
      <c r="B81" s="151"/>
      <c r="C81" s="152"/>
      <c r="D81" s="82"/>
      <c r="E81" s="163"/>
    </row>
    <row r="82" spans="1:5" ht="23.25">
      <c r="A82" s="168" t="s">
        <v>106</v>
      </c>
      <c r="B82" s="221">
        <v>39737</v>
      </c>
      <c r="C82" s="222">
        <v>18781</v>
      </c>
      <c r="D82" s="223">
        <v>11046</v>
      </c>
      <c r="E82" s="223">
        <v>111111</v>
      </c>
    </row>
    <row r="83" spans="1:5" ht="23.25">
      <c r="A83" s="173" t="s">
        <v>78</v>
      </c>
      <c r="B83" s="151"/>
      <c r="C83" s="152"/>
      <c r="D83" s="82"/>
      <c r="E83" s="163"/>
    </row>
    <row r="84" spans="1:5" ht="23.25">
      <c r="A84" s="168" t="s">
        <v>107</v>
      </c>
      <c r="B84" s="192">
        <v>2</v>
      </c>
      <c r="C84" s="193">
        <v>2</v>
      </c>
      <c r="D84" s="191">
        <v>2</v>
      </c>
      <c r="E84" s="208">
        <f>SUM(B84:D84)</f>
        <v>6</v>
      </c>
    </row>
    <row r="85" spans="1:5" ht="23.25">
      <c r="A85" s="173" t="s">
        <v>79</v>
      </c>
      <c r="B85" s="151"/>
      <c r="C85" s="152"/>
      <c r="D85" s="82"/>
      <c r="E85" s="163"/>
    </row>
    <row r="86" spans="1:5" ht="23.25">
      <c r="A86" s="168" t="s">
        <v>108</v>
      </c>
      <c r="B86" s="221">
        <v>105000</v>
      </c>
      <c r="C86" s="222">
        <v>35000</v>
      </c>
      <c r="D86" s="223">
        <v>58000</v>
      </c>
      <c r="E86" s="220">
        <f>SUM(B86:D86)</f>
        <v>198000</v>
      </c>
    </row>
    <row r="87" spans="1:5" ht="23.25">
      <c r="A87" s="168" t="s">
        <v>109</v>
      </c>
      <c r="B87" s="221">
        <v>140000</v>
      </c>
      <c r="C87" s="222">
        <v>0</v>
      </c>
      <c r="D87" s="223">
        <v>20000</v>
      </c>
      <c r="E87" s="220">
        <f t="shared" ref="E87" si="3">SUM(B87:D87)</f>
        <v>160000</v>
      </c>
    </row>
    <row r="88" spans="1:5" ht="23.25">
      <c r="A88" s="168" t="s">
        <v>235</v>
      </c>
      <c r="B88" s="260">
        <v>12</v>
      </c>
      <c r="C88" s="261">
        <v>12</v>
      </c>
      <c r="D88" s="262">
        <v>17</v>
      </c>
      <c r="E88" s="228">
        <f>SUM(B88:D88)</f>
        <v>41</v>
      </c>
    </row>
    <row r="89" spans="1:5" ht="23.25">
      <c r="A89" s="168" t="s">
        <v>192</v>
      </c>
      <c r="B89" s="263">
        <f>SUM(B90:B92)</f>
        <v>12</v>
      </c>
      <c r="C89" s="264">
        <f>SUM(C90:C92)</f>
        <v>9</v>
      </c>
      <c r="D89" s="265">
        <f t="shared" ref="D89" si="4">SUM(D90:D92)</f>
        <v>17</v>
      </c>
      <c r="E89" s="224">
        <f>SUM(E90:E92)</f>
        <v>38</v>
      </c>
    </row>
    <row r="90" spans="1:5" ht="23.25">
      <c r="A90" s="168" t="s">
        <v>189</v>
      </c>
      <c r="B90" s="192">
        <v>0</v>
      </c>
      <c r="C90" s="193">
        <v>0</v>
      </c>
      <c r="D90" s="191">
        <v>0</v>
      </c>
      <c r="E90" s="184">
        <f>SUM(B90:D90)</f>
        <v>0</v>
      </c>
    </row>
    <row r="91" spans="1:5" ht="23.25">
      <c r="A91" s="168" t="s">
        <v>190</v>
      </c>
      <c r="B91" s="192">
        <v>9</v>
      </c>
      <c r="C91" s="193">
        <v>9</v>
      </c>
      <c r="D91" s="191">
        <v>14</v>
      </c>
      <c r="E91" s="184">
        <f t="shared" ref="E91:E92" si="5">SUM(B91:D91)</f>
        <v>32</v>
      </c>
    </row>
    <row r="92" spans="1:5" ht="23.25">
      <c r="A92" s="168" t="s">
        <v>191</v>
      </c>
      <c r="B92" s="192">
        <v>3</v>
      </c>
      <c r="C92" s="193">
        <v>0</v>
      </c>
      <c r="D92" s="191">
        <v>3</v>
      </c>
      <c r="E92" s="184">
        <f t="shared" si="5"/>
        <v>6</v>
      </c>
    </row>
    <row r="93" spans="1:5" ht="23.25">
      <c r="A93" s="168" t="s">
        <v>193</v>
      </c>
      <c r="B93" s="263">
        <f>SUM(B94:B96)</f>
        <v>4</v>
      </c>
      <c r="C93" s="264">
        <f t="shared" ref="C93" si="6">SUM(C94:C96)</f>
        <v>3</v>
      </c>
      <c r="D93" s="265">
        <f t="shared" ref="D93" si="7">SUM(D94:D96)</f>
        <v>5</v>
      </c>
      <c r="E93" s="224">
        <f>SUM(E94:E96)</f>
        <v>12</v>
      </c>
    </row>
    <row r="94" spans="1:5" ht="46.5">
      <c r="A94" s="168" t="s">
        <v>194</v>
      </c>
      <c r="B94" s="192">
        <v>0</v>
      </c>
      <c r="C94" s="193">
        <v>0</v>
      </c>
      <c r="D94" s="191">
        <v>0</v>
      </c>
      <c r="E94" s="184">
        <f>SUM(B94:D94)</f>
        <v>0</v>
      </c>
    </row>
    <row r="95" spans="1:5" ht="46.5">
      <c r="A95" s="168" t="s">
        <v>195</v>
      </c>
      <c r="B95" s="192">
        <v>4</v>
      </c>
      <c r="C95" s="193">
        <v>3</v>
      </c>
      <c r="D95" s="191">
        <v>5</v>
      </c>
      <c r="E95" s="184">
        <f t="shared" ref="E95:E96" si="8">SUM(B95:D95)</f>
        <v>12</v>
      </c>
    </row>
    <row r="96" spans="1:5" ht="46.5">
      <c r="A96" s="168" t="s">
        <v>196</v>
      </c>
      <c r="B96" s="192">
        <v>0</v>
      </c>
      <c r="C96" s="193">
        <v>0</v>
      </c>
      <c r="D96" s="191">
        <v>0</v>
      </c>
      <c r="E96" s="184">
        <f t="shared" si="8"/>
        <v>0</v>
      </c>
    </row>
    <row r="97" spans="1:5" ht="23.25">
      <c r="A97" s="168" t="s">
        <v>236</v>
      </c>
      <c r="B97" s="263">
        <f>SUM(B98:B100)</f>
        <v>0</v>
      </c>
      <c r="C97" s="264">
        <f t="shared" ref="C97" si="9">SUM(C98:C100)</f>
        <v>0</v>
      </c>
      <c r="D97" s="265">
        <f t="shared" ref="D97" si="10">SUM(D98:D100)</f>
        <v>0</v>
      </c>
      <c r="E97" s="224">
        <f>SUM(E98:E100)</f>
        <v>0</v>
      </c>
    </row>
    <row r="98" spans="1:5" ht="46.5">
      <c r="A98" s="168" t="s">
        <v>197</v>
      </c>
      <c r="B98" s="192">
        <v>0</v>
      </c>
      <c r="C98" s="193">
        <v>0</v>
      </c>
      <c r="D98" s="191">
        <v>0</v>
      </c>
      <c r="E98" s="184">
        <f>SUM(B98:D98)</f>
        <v>0</v>
      </c>
    </row>
    <row r="99" spans="1:5" ht="46.5">
      <c r="A99" s="168" t="s">
        <v>198</v>
      </c>
      <c r="B99" s="192">
        <v>0</v>
      </c>
      <c r="C99" s="193">
        <v>0</v>
      </c>
      <c r="D99" s="191">
        <v>0</v>
      </c>
      <c r="E99" s="184">
        <f t="shared" ref="E99:E100" si="11">SUM(B99:D99)</f>
        <v>0</v>
      </c>
    </row>
    <row r="100" spans="1:5" ht="46.5">
      <c r="A100" s="168" t="s">
        <v>199</v>
      </c>
      <c r="B100" s="192">
        <v>0</v>
      </c>
      <c r="C100" s="193">
        <v>0</v>
      </c>
      <c r="D100" s="191">
        <v>0</v>
      </c>
      <c r="E100" s="184">
        <f t="shared" si="11"/>
        <v>0</v>
      </c>
    </row>
    <row r="101" spans="1:5" ht="23.25">
      <c r="A101" s="168" t="s">
        <v>200</v>
      </c>
      <c r="B101" s="263">
        <f>SUM(B102:B104)</f>
        <v>0</v>
      </c>
      <c r="C101" s="264">
        <f t="shared" ref="C101" si="12">SUM(C102:C104)</f>
        <v>0</v>
      </c>
      <c r="D101" s="265">
        <f>SUM(D102:D104)</f>
        <v>0</v>
      </c>
      <c r="E101" s="224">
        <f>SUM(E102:E104)</f>
        <v>0</v>
      </c>
    </row>
    <row r="102" spans="1:5" ht="23.25">
      <c r="A102" s="168" t="s">
        <v>201</v>
      </c>
      <c r="B102" s="192">
        <v>0</v>
      </c>
      <c r="C102" s="193">
        <v>0</v>
      </c>
      <c r="D102" s="191">
        <v>0</v>
      </c>
      <c r="E102" s="184">
        <f>SUM(B102:D102)</f>
        <v>0</v>
      </c>
    </row>
    <row r="103" spans="1:5" ht="23.25">
      <c r="A103" s="168" t="s">
        <v>202</v>
      </c>
      <c r="B103" s="192">
        <v>0</v>
      </c>
      <c r="C103" s="193">
        <v>0</v>
      </c>
      <c r="D103" s="191">
        <v>0</v>
      </c>
      <c r="E103" s="184">
        <f t="shared" ref="E103:E104" si="13">SUM(B103:D103)</f>
        <v>0</v>
      </c>
    </row>
    <row r="104" spans="1:5" ht="23.25">
      <c r="A104" s="168" t="s">
        <v>203</v>
      </c>
      <c r="B104" s="192">
        <v>0</v>
      </c>
      <c r="C104" s="193">
        <v>0</v>
      </c>
      <c r="D104" s="191">
        <v>0</v>
      </c>
      <c r="E104" s="184">
        <f t="shared" si="13"/>
        <v>0</v>
      </c>
    </row>
    <row r="105" spans="1:5" ht="23.25">
      <c r="A105" s="168" t="s">
        <v>204</v>
      </c>
      <c r="B105" s="266">
        <v>0</v>
      </c>
      <c r="C105" s="267">
        <v>0</v>
      </c>
      <c r="D105" s="268">
        <v>0</v>
      </c>
      <c r="E105" s="208">
        <f t="shared" ref="E105" si="14">SUM(B105:D105)</f>
        <v>0</v>
      </c>
    </row>
    <row r="106" spans="1:5" ht="23.25">
      <c r="A106" s="236" t="s">
        <v>218</v>
      </c>
      <c r="B106" s="156"/>
      <c r="C106" s="157"/>
      <c r="D106" s="158"/>
      <c r="E106" s="187">
        <f>AVERAGE(B107:D120)</f>
        <v>3.4316666666666666</v>
      </c>
    </row>
    <row r="107" spans="1:5" ht="23.25">
      <c r="A107" s="166" t="s">
        <v>206</v>
      </c>
      <c r="B107" s="185">
        <v>3.66</v>
      </c>
      <c r="C107" s="178"/>
      <c r="D107" s="179"/>
      <c r="E107" s="188">
        <f>AVERAGE(B107:B109)</f>
        <v>3.5650000000000004</v>
      </c>
    </row>
    <row r="108" spans="1:5" ht="23.25">
      <c r="A108" s="166" t="s">
        <v>205</v>
      </c>
      <c r="B108" s="185">
        <v>3.47</v>
      </c>
      <c r="C108" s="178"/>
      <c r="D108" s="179"/>
      <c r="E108" s="183"/>
    </row>
    <row r="109" spans="1:5" ht="23.25">
      <c r="A109" s="166" t="s">
        <v>207</v>
      </c>
      <c r="B109" s="185"/>
      <c r="C109" s="178"/>
      <c r="D109" s="179"/>
      <c r="E109" s="183"/>
    </row>
    <row r="110" spans="1:5" ht="23.25">
      <c r="A110" s="167" t="s">
        <v>208</v>
      </c>
      <c r="B110" s="177"/>
      <c r="C110" s="186">
        <v>3.33</v>
      </c>
      <c r="D110" s="179"/>
      <c r="E110" s="189">
        <f>AVERAGE(C110:C114)</f>
        <v>3.33</v>
      </c>
    </row>
    <row r="111" spans="1:5" ht="23.25">
      <c r="A111" s="167" t="s">
        <v>209</v>
      </c>
      <c r="B111" s="177"/>
      <c r="C111" s="186"/>
      <c r="D111" s="179"/>
      <c r="E111" s="183"/>
    </row>
    <row r="112" spans="1:5" ht="23.25">
      <c r="A112" s="167" t="s">
        <v>210</v>
      </c>
      <c r="B112" s="177"/>
      <c r="C112" s="186"/>
      <c r="D112" s="179"/>
      <c r="E112" s="183"/>
    </row>
    <row r="113" spans="1:5" ht="23.25">
      <c r="A113" s="167" t="s">
        <v>211</v>
      </c>
      <c r="B113" s="177"/>
      <c r="C113" s="186"/>
      <c r="D113" s="179"/>
      <c r="E113" s="183"/>
    </row>
    <row r="114" spans="1:5" ht="23.25">
      <c r="A114" s="167" t="s">
        <v>129</v>
      </c>
      <c r="B114" s="177"/>
      <c r="C114" s="186"/>
      <c r="D114" s="179"/>
      <c r="E114" s="183"/>
    </row>
    <row r="115" spans="1:5" ht="23.25">
      <c r="A115" s="168" t="s">
        <v>212</v>
      </c>
      <c r="B115" s="177"/>
      <c r="C115" s="178"/>
      <c r="D115" s="190">
        <v>3.49</v>
      </c>
      <c r="E115" s="194">
        <f>AVERAGE(D115:D120)</f>
        <v>3.3766666666666665</v>
      </c>
    </row>
    <row r="116" spans="1:5" ht="23.25">
      <c r="A116" s="168" t="s">
        <v>213</v>
      </c>
      <c r="B116" s="177"/>
      <c r="C116" s="178"/>
      <c r="D116" s="190">
        <v>3.28</v>
      </c>
      <c r="E116" s="182"/>
    </row>
    <row r="117" spans="1:5" ht="23.25">
      <c r="A117" s="168" t="s">
        <v>214</v>
      </c>
      <c r="B117" s="177"/>
      <c r="C117" s="178"/>
      <c r="D117" s="190">
        <v>3.36</v>
      </c>
      <c r="E117" s="182"/>
    </row>
    <row r="118" spans="1:5" ht="23.25">
      <c r="A118" s="168" t="s">
        <v>215</v>
      </c>
      <c r="B118" s="177"/>
      <c r="C118" s="178"/>
      <c r="D118" s="190"/>
      <c r="E118" s="182"/>
    </row>
    <row r="119" spans="1:5" ht="23.25">
      <c r="A119" s="168" t="s">
        <v>216</v>
      </c>
      <c r="B119" s="177"/>
      <c r="C119" s="178"/>
      <c r="D119" s="190"/>
      <c r="E119" s="182"/>
    </row>
    <row r="120" spans="1:5" ht="23.25">
      <c r="A120" s="168" t="s">
        <v>217</v>
      </c>
      <c r="B120" s="177"/>
      <c r="C120" s="178"/>
      <c r="D120" s="190"/>
      <c r="E120" s="182"/>
    </row>
    <row r="121" spans="1:5" ht="23.25">
      <c r="A121" s="173" t="s">
        <v>80</v>
      </c>
      <c r="B121" s="151"/>
      <c r="C121" s="152"/>
      <c r="D121" s="82"/>
      <c r="E121" s="163"/>
    </row>
    <row r="122" spans="1:5" ht="23.25">
      <c r="A122" s="174" t="s">
        <v>32</v>
      </c>
      <c r="B122" s="181"/>
      <c r="C122" s="180"/>
      <c r="D122" s="91"/>
      <c r="E122" s="229"/>
    </row>
    <row r="123" spans="1:5" ht="23.25">
      <c r="A123" s="174" t="s">
        <v>110</v>
      </c>
      <c r="B123" s="225">
        <v>257</v>
      </c>
      <c r="C123" s="226">
        <v>175</v>
      </c>
      <c r="D123" s="227">
        <v>559</v>
      </c>
      <c r="E123" s="208">
        <f t="shared" ref="E123:E125" si="15">SUM(B123:D123)</f>
        <v>991</v>
      </c>
    </row>
    <row r="124" spans="1:5" ht="23.25">
      <c r="A124" s="174" t="s">
        <v>111</v>
      </c>
      <c r="B124" s="225">
        <v>11</v>
      </c>
      <c r="C124" s="226">
        <v>4</v>
      </c>
      <c r="D124" s="227">
        <v>37</v>
      </c>
      <c r="E124" s="208">
        <f t="shared" si="15"/>
        <v>52</v>
      </c>
    </row>
    <row r="125" spans="1:5" ht="23.25">
      <c r="A125" s="174" t="s">
        <v>112</v>
      </c>
      <c r="B125" s="225">
        <v>3</v>
      </c>
      <c r="C125" s="226">
        <v>1</v>
      </c>
      <c r="D125" s="227">
        <v>1</v>
      </c>
      <c r="E125" s="208">
        <f t="shared" si="15"/>
        <v>5</v>
      </c>
    </row>
    <row r="126" spans="1:5" ht="23.25">
      <c r="A126" s="167" t="s">
        <v>113</v>
      </c>
      <c r="B126" s="181"/>
      <c r="C126" s="180"/>
      <c r="D126" s="91"/>
      <c r="E126" s="229"/>
    </row>
    <row r="127" spans="1:5" ht="23.25">
      <c r="A127" s="174" t="s">
        <v>114</v>
      </c>
      <c r="B127" s="225">
        <v>3</v>
      </c>
      <c r="C127" s="226">
        <v>1</v>
      </c>
      <c r="D127" s="227">
        <v>1</v>
      </c>
      <c r="E127" s="208">
        <f t="shared" ref="E127:E129" si="16">SUM(B127:D127)</f>
        <v>5</v>
      </c>
    </row>
    <row r="128" spans="1:5" ht="23.25">
      <c r="A128" s="174" t="s">
        <v>115</v>
      </c>
      <c r="B128" s="225">
        <v>6</v>
      </c>
      <c r="C128" s="226">
        <v>3</v>
      </c>
      <c r="D128" s="227">
        <v>10</v>
      </c>
      <c r="E128" s="208">
        <f t="shared" si="16"/>
        <v>19</v>
      </c>
    </row>
    <row r="129" spans="1:5" ht="23.25">
      <c r="A129" s="174" t="s">
        <v>116</v>
      </c>
      <c r="B129" s="225">
        <v>3</v>
      </c>
      <c r="C129" s="226">
        <v>1</v>
      </c>
      <c r="D129" s="227">
        <v>1</v>
      </c>
      <c r="E129" s="208">
        <f t="shared" si="16"/>
        <v>5</v>
      </c>
    </row>
    <row r="130" spans="1:5" ht="23.25">
      <c r="A130" s="167" t="s">
        <v>174</v>
      </c>
      <c r="B130" s="181"/>
      <c r="C130" s="180"/>
      <c r="D130" s="91"/>
      <c r="E130" s="229"/>
    </row>
    <row r="131" spans="1:5" ht="23.25">
      <c r="A131" s="174" t="s">
        <v>175</v>
      </c>
      <c r="B131" s="225">
        <v>1</v>
      </c>
      <c r="C131" s="226">
        <v>0</v>
      </c>
      <c r="D131" s="227">
        <v>0</v>
      </c>
      <c r="E131" s="208">
        <f t="shared" ref="E131:E132" si="17">SUM(B131:D131)</f>
        <v>1</v>
      </c>
    </row>
    <row r="132" spans="1:5" ht="46.5">
      <c r="A132" s="174" t="s">
        <v>176</v>
      </c>
      <c r="B132" s="225">
        <v>1</v>
      </c>
      <c r="C132" s="226">
        <v>0</v>
      </c>
      <c r="D132" s="227">
        <v>0</v>
      </c>
      <c r="E132" s="208">
        <f t="shared" si="17"/>
        <v>1</v>
      </c>
    </row>
    <row r="133" spans="1:5" ht="23.25">
      <c r="A133" s="173" t="s">
        <v>117</v>
      </c>
      <c r="B133" s="151"/>
      <c r="C133" s="152"/>
      <c r="D133" s="82"/>
      <c r="E133" s="163"/>
    </row>
    <row r="134" spans="1:5" ht="23.25">
      <c r="A134" s="174" t="s">
        <v>118</v>
      </c>
      <c r="B134" s="181"/>
      <c r="C134" s="180"/>
      <c r="D134" s="91"/>
      <c r="E134" s="229"/>
    </row>
    <row r="135" spans="1:5" ht="23.25">
      <c r="A135" s="174" t="s">
        <v>119</v>
      </c>
      <c r="B135" s="225">
        <v>4</v>
      </c>
      <c r="C135" s="226">
        <v>0</v>
      </c>
      <c r="D135" s="227">
        <v>2</v>
      </c>
      <c r="E135" s="208">
        <f t="shared" ref="E135:E136" si="18">SUM(B135:D135)</f>
        <v>6</v>
      </c>
    </row>
    <row r="136" spans="1:5" ht="24" thickBot="1">
      <c r="A136" s="175" t="s">
        <v>120</v>
      </c>
      <c r="B136" s="225">
        <v>4</v>
      </c>
      <c r="C136" s="226">
        <v>1</v>
      </c>
      <c r="D136" s="227">
        <v>2</v>
      </c>
      <c r="E136" s="208">
        <f t="shared" si="18"/>
        <v>7</v>
      </c>
    </row>
  </sheetData>
  <sheetProtection algorithmName="SHA-512" hashValue="zGiJReglhT6sO8P7s51zNdkrRudMPZrh+lpCt7nwie9lNu/V3wT9P4a9KdYNPSJj+8ECpD4Iu+SWlcn7SvcJRw==" saltValue="N8iUKtwVOP4WKvWQeEOypg==" spinCount="100000" sheet="1" objects="1" scenarios="1"/>
  <mergeCells count="4">
    <mergeCell ref="A2:A4"/>
    <mergeCell ref="B3:D3"/>
    <mergeCell ref="B2:E2"/>
    <mergeCell ref="E3:E4"/>
  </mergeCells>
  <pageMargins left="0.70866141732283472" right="0.70866141732283472" top="0.55118110236220474" bottom="0.55118110236220474" header="0.31496062992125984" footer="0.31496062992125984"/>
  <pageSetup paperSize="9" scale="60"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6</vt:i4>
      </vt:variant>
      <vt:variant>
        <vt:lpstr>ช่วงที่มีชื่อ</vt:lpstr>
      </vt:variant>
      <vt:variant>
        <vt:i4>4</vt:i4>
      </vt:variant>
    </vt:vector>
  </HeadingPairs>
  <TitlesOfParts>
    <vt:vector size="10" baseType="lpstr">
      <vt:lpstr>คำแนะนำการใช้โปรแกรม</vt:lpstr>
      <vt:lpstr>ป1 คณะ </vt:lpstr>
      <vt:lpstr>ป. 2 ระดับคณะ</vt:lpstr>
      <vt:lpstr>ป1 วิทยาเขต </vt:lpstr>
      <vt:lpstr>ป. 2 ระดับวิทยาเขต</vt:lpstr>
      <vt:lpstr>CDS(สำหรับภาคผนวก) </vt:lpstr>
      <vt:lpstr>'CDS(สำหรับภาคผนวก) '!Print_Area</vt:lpstr>
      <vt:lpstr>'ป1 คณะ '!Print_Area</vt:lpstr>
      <vt:lpstr>'ป1 วิทยาเขต '!Print_Area</vt:lpstr>
      <vt:lpstr>'CDS(สำหรับภาคผนวก)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suksaner</dc:creator>
  <cp:lastModifiedBy>hpetch</cp:lastModifiedBy>
  <cp:lastPrinted>2022-06-17T08:17:15Z</cp:lastPrinted>
  <dcterms:created xsi:type="dcterms:W3CDTF">2022-05-08T14:45:01Z</dcterms:created>
  <dcterms:modified xsi:type="dcterms:W3CDTF">2023-07-25T02:19:50Z</dcterms:modified>
</cp:coreProperties>
</file>